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Clay\Clay Workbooks\2007 Workbooks\"/>
    </mc:Choice>
  </mc:AlternateContent>
  <workbookProtection workbookAlgorithmName="SHA-512" workbookHashValue="FDOIsfPmFbgvd1soWtC350jIo6tzQ43+TPrjRHTZ62YZ8HmwSBakofM7F6gOL7btviIAk/VDIn+z2NOpxLLBMQ==" workbookSaltValue="6OUtN0ENAQj1ArbDrKOxvQ==" workbookSpinCount="100000" lockStructure="1"/>
  <bookViews>
    <workbookView xWindow="360" yWindow="315" windowWidth="12120" windowHeight="8640" tabRatio="780" activeTab="1"/>
  </bookViews>
  <sheets>
    <sheet name="Choice" sheetId="13" r:id="rId1"/>
    <sheet name="Instructions" sheetId="11" r:id="rId2"/>
    <sheet name="ATA Trap" sheetId="5" r:id="rId3"/>
    <sheet name="DTL" sheetId="14" r:id="rId4"/>
    <sheet name="NSSA Skeet" sheetId="6" r:id="rId5"/>
    <sheet name="Skeet Doubles" sheetId="10" r:id="rId6"/>
    <sheet name="Trench" sheetId="23" r:id="rId7"/>
    <sheet name="FITASC Sporting" sheetId="18" r:id="rId8"/>
    <sheet name="Trap 1" sheetId="22" r:id="rId9"/>
    <sheet name="English Sporting" sheetId="8" r:id="rId10"/>
    <sheet name="Olympic Trap" sheetId="21" r:id="rId11"/>
    <sheet name="OlympicDoubles" sheetId="16" r:id="rId12"/>
    <sheet name="Olympic Skeet" sheetId="7" r:id="rId13"/>
    <sheet name="English Skeet" sheetId="9" r:id="rId14"/>
    <sheet name="Compak" sheetId="15" r:id="rId15"/>
  </sheets>
  <definedNames>
    <definedName name="ClubName">Choice!$E$4</definedName>
    <definedName name="CompDate">Choice!$H$4</definedName>
    <definedName name="_xlnm.Print_Area" localSheetId="2">'ATA Trap'!$C$1:$AE$13</definedName>
    <definedName name="_xlnm.Print_Area" localSheetId="14">Compak!$A$1:$AJ$26</definedName>
    <definedName name="_xlnm.Print_Area" localSheetId="3">DTL!$A$1:$AF$13</definedName>
    <definedName name="_xlnm.Print_Area" localSheetId="13">'English Skeet'!$A$1:$AE$15</definedName>
    <definedName name="_xlnm.Print_Area" localSheetId="9">'English Sporting'!$A$1:$AC$27</definedName>
    <definedName name="_xlnm.Print_Area" localSheetId="7">'FITASC Sporting'!$A$1:$AE$16</definedName>
    <definedName name="_xlnm.Print_Area" localSheetId="4">'NSSA Skeet'!$A$1:$AE$15</definedName>
    <definedName name="_xlnm.Print_Area" localSheetId="12">'Olympic Skeet'!$A$1:$AE$15</definedName>
    <definedName name="_xlnm.Print_Area" localSheetId="10">'Olympic Trap'!$A$1:$AE$16</definedName>
    <definedName name="_xlnm.Print_Area" localSheetId="11">OlympicDoubles!$A$1:$U$13</definedName>
    <definedName name="_xlnm.Print_Area" localSheetId="5">'Skeet Doubles'!$A$1:$AF$29</definedName>
    <definedName name="_xlnm.Print_Area" localSheetId="8">'Trap 1'!$A$1:$AE$16</definedName>
    <definedName name="_xlnm.Print_Area" localSheetId="6">Trench!$A$1:$AE$16</definedName>
    <definedName name="Squads">Choice!$C$17:$K$217</definedName>
  </definedNames>
  <calcPr calcId="152511"/>
</workbook>
</file>

<file path=xl/calcChain.xml><?xml version="1.0" encoding="utf-8"?>
<calcChain xmlns="http://schemas.openxmlformats.org/spreadsheetml/2006/main">
  <c r="AE1" i="7" l="1"/>
  <c r="C6" i="5"/>
  <c r="B6" i="5" s="1"/>
  <c r="D23" i="15"/>
  <c r="D22" i="15"/>
  <c r="D20" i="15"/>
  <c r="D19" i="15"/>
  <c r="D17" i="15"/>
  <c r="D16" i="15"/>
  <c r="D14" i="15"/>
  <c r="D13" i="15"/>
  <c r="D11" i="15"/>
  <c r="D10" i="15"/>
  <c r="B23" i="15"/>
  <c r="B22" i="15"/>
  <c r="B20" i="15"/>
  <c r="B19" i="15"/>
  <c r="B17" i="15"/>
  <c r="B16" i="15"/>
  <c r="B14" i="15"/>
  <c r="B13" i="15"/>
  <c r="B11" i="15"/>
  <c r="B10" i="15"/>
  <c r="C6" i="8"/>
  <c r="B6" i="8" s="1"/>
  <c r="C6" i="16"/>
  <c r="B6" i="16" s="1"/>
  <c r="D8" i="15"/>
  <c r="D7" i="15"/>
  <c r="B8" i="15"/>
  <c r="B7" i="15"/>
  <c r="C6" i="21"/>
  <c r="B6" i="21" s="1"/>
  <c r="C6" i="14"/>
  <c r="B6" i="14" s="1"/>
  <c r="C8" i="6"/>
  <c r="D8" i="6" s="1"/>
  <c r="D6" i="21" l="1"/>
  <c r="D6" i="8"/>
  <c r="D6" i="16"/>
  <c r="D6" i="14"/>
  <c r="D6" i="5"/>
  <c r="B8" i="6"/>
  <c r="AU4" i="23"/>
  <c r="O1" i="23" s="1"/>
  <c r="AP4" i="23"/>
  <c r="AP3" i="23"/>
  <c r="E3" i="23"/>
  <c r="AE1" i="23"/>
  <c r="AP4" i="15" l="1"/>
  <c r="AP4" i="22"/>
  <c r="AP4" i="18"/>
  <c r="AU4" i="22"/>
  <c r="O1" i="22" s="1"/>
  <c r="AP3" i="22"/>
  <c r="E3" i="22"/>
  <c r="AE1" i="22"/>
  <c r="AU4" i="21"/>
  <c r="AP4" i="21"/>
  <c r="AP3" i="21"/>
  <c r="E3" i="21"/>
  <c r="AE1" i="21"/>
  <c r="D3" i="14"/>
  <c r="D3" i="5"/>
  <c r="U1" i="16"/>
  <c r="AU4" i="15"/>
  <c r="O1" i="15" s="1"/>
  <c r="AP3" i="15"/>
  <c r="AP3" i="18"/>
  <c r="AU4" i="18"/>
  <c r="O1" i="18" s="1"/>
  <c r="AE1" i="9"/>
  <c r="N1" i="5"/>
  <c r="AF1" i="14"/>
  <c r="AE1" i="6"/>
  <c r="AE1" i="10"/>
  <c r="AE1" i="18"/>
  <c r="AE1" i="15"/>
  <c r="AC1" i="8"/>
  <c r="AE1" i="16"/>
  <c r="AE1" i="5"/>
  <c r="E3" i="16"/>
  <c r="B217" i="13"/>
  <c r="B216" i="13"/>
  <c r="B215" i="13"/>
  <c r="B214" i="13"/>
  <c r="B213" i="13"/>
  <c r="B212" i="13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A217" i="13"/>
  <c r="A216" i="13"/>
  <c r="A215" i="13"/>
  <c r="A214" i="13"/>
  <c r="A213" i="13"/>
  <c r="A212" i="13"/>
  <c r="A211" i="13"/>
  <c r="A210" i="13"/>
  <c r="A209" i="13"/>
  <c r="A208" i="13"/>
  <c r="A207" i="13"/>
  <c r="A206" i="13"/>
  <c r="A205" i="13"/>
  <c r="A204" i="13"/>
  <c r="A203" i="13"/>
  <c r="A202" i="13"/>
  <c r="A201" i="13"/>
  <c r="A200" i="13"/>
  <c r="A199" i="13"/>
  <c r="A198" i="13"/>
  <c r="A197" i="13"/>
  <c r="A196" i="13"/>
  <c r="A195" i="13"/>
  <c r="A194" i="13"/>
  <c r="A193" i="13"/>
  <c r="A192" i="13"/>
  <c r="A191" i="13"/>
  <c r="A190" i="13"/>
  <c r="A189" i="13"/>
  <c r="A188" i="13"/>
  <c r="A187" i="13"/>
  <c r="A186" i="13"/>
  <c r="A185" i="13"/>
  <c r="A184" i="13"/>
  <c r="A183" i="13"/>
  <c r="A182" i="13"/>
  <c r="A181" i="13"/>
  <c r="A180" i="13"/>
  <c r="A179" i="13"/>
  <c r="A178" i="13"/>
  <c r="A177" i="13"/>
  <c r="A176" i="13"/>
  <c r="A175" i="13"/>
  <c r="A174" i="13"/>
  <c r="A173" i="13"/>
  <c r="A172" i="13"/>
  <c r="A171" i="13"/>
  <c r="A170" i="13"/>
  <c r="A169" i="13"/>
  <c r="A168" i="13"/>
  <c r="A167" i="13"/>
  <c r="A166" i="13"/>
  <c r="A165" i="13"/>
  <c r="A164" i="13"/>
  <c r="A163" i="13"/>
  <c r="A162" i="13"/>
  <c r="A161" i="13"/>
  <c r="A160" i="13"/>
  <c r="A159" i="13"/>
  <c r="A158" i="13"/>
  <c r="A157" i="13"/>
  <c r="A156" i="13"/>
  <c r="A155" i="13"/>
  <c r="A154" i="13"/>
  <c r="A153" i="13"/>
  <c r="A152" i="13"/>
  <c r="A151" i="13"/>
  <c r="A150" i="13"/>
  <c r="A149" i="13"/>
  <c r="A148" i="13"/>
  <c r="A147" i="13"/>
  <c r="A146" i="13"/>
  <c r="A145" i="13"/>
  <c r="A144" i="13"/>
  <c r="A143" i="13"/>
  <c r="A142" i="13"/>
  <c r="A141" i="13"/>
  <c r="A140" i="13"/>
  <c r="A139" i="13"/>
  <c r="A138" i="13"/>
  <c r="A137" i="13"/>
  <c r="A136" i="13"/>
  <c r="A135" i="13"/>
  <c r="A134" i="13"/>
  <c r="A133" i="13"/>
  <c r="A132" i="13"/>
  <c r="A131" i="13"/>
  <c r="A130" i="13"/>
  <c r="A129" i="13"/>
  <c r="A128" i="13"/>
  <c r="A127" i="13"/>
  <c r="A126" i="13"/>
  <c r="A125" i="13"/>
  <c r="A124" i="13"/>
  <c r="A123" i="13"/>
  <c r="A122" i="13"/>
  <c r="A121" i="13"/>
  <c r="A120" i="13"/>
  <c r="A119" i="13"/>
  <c r="A118" i="13"/>
  <c r="A117" i="13"/>
  <c r="A116" i="13"/>
  <c r="A115" i="13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98" i="13"/>
  <c r="A97" i="13"/>
  <c r="A96" i="13"/>
  <c r="A95" i="13"/>
  <c r="A94" i="13"/>
  <c r="A93" i="13"/>
  <c r="A92" i="13"/>
  <c r="A91" i="13"/>
  <c r="A90" i="13"/>
  <c r="A89" i="13"/>
  <c r="A88" i="13"/>
  <c r="A87" i="13"/>
  <c r="A86" i="13"/>
  <c r="A85" i="13"/>
  <c r="A84" i="13"/>
  <c r="A83" i="13"/>
  <c r="A82" i="13"/>
  <c r="A81" i="13"/>
  <c r="A80" i="13"/>
  <c r="A79" i="13"/>
  <c r="A78" i="13"/>
  <c r="A77" i="13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P6" i="23" l="1"/>
  <c r="AP6" i="18"/>
  <c r="AP6" i="22"/>
  <c r="AP6" i="15"/>
  <c r="H14" i="13"/>
  <c r="C11" i="10"/>
  <c r="C9" i="7"/>
  <c r="C12" i="9"/>
  <c r="C11" i="8"/>
  <c r="C11" i="16"/>
  <c r="AP10" i="22"/>
  <c r="C10" i="5"/>
  <c r="C10" i="10"/>
  <c r="C11" i="9"/>
  <c r="C10" i="8"/>
  <c r="C10" i="16"/>
  <c r="AP11" i="18"/>
  <c r="AO11" i="18" s="1"/>
  <c r="AP9" i="22"/>
  <c r="AP11" i="15"/>
  <c r="AO11" i="15" s="1"/>
  <c r="C8" i="10"/>
  <c r="AP10" i="23"/>
  <c r="AP8" i="15"/>
  <c r="AP8" i="23"/>
  <c r="C7" i="16"/>
  <c r="C13" i="6"/>
  <c r="C9" i="6"/>
  <c r="C9" i="10"/>
  <c r="C10" i="9"/>
  <c r="C9" i="8"/>
  <c r="C11" i="21"/>
  <c r="C8" i="21"/>
  <c r="C9" i="16"/>
  <c r="AP10" i="18"/>
  <c r="AP8" i="22"/>
  <c r="AP10" i="15"/>
  <c r="C7" i="21"/>
  <c r="C10" i="7"/>
  <c r="C9" i="5"/>
  <c r="C10" i="14"/>
  <c r="C12" i="6"/>
  <c r="C9" i="9"/>
  <c r="AP11" i="23"/>
  <c r="AO11" i="23" s="1"/>
  <c r="AP9" i="18"/>
  <c r="AP7" i="22"/>
  <c r="AP9" i="15"/>
  <c r="C10" i="21"/>
  <c r="C10" i="6"/>
  <c r="AP7" i="23"/>
  <c r="C8" i="5"/>
  <c r="C9" i="14"/>
  <c r="C11" i="6"/>
  <c r="C13" i="7"/>
  <c r="C8" i="8"/>
  <c r="AP8" i="18"/>
  <c r="C13" i="9"/>
  <c r="C9" i="21"/>
  <c r="AP11" i="22"/>
  <c r="AO11" i="22" s="1"/>
  <c r="C8" i="7"/>
  <c r="C8" i="14"/>
  <c r="C12" i="7"/>
  <c r="C7" i="8"/>
  <c r="C8" i="16"/>
  <c r="AP9" i="23"/>
  <c r="AP7" i="18"/>
  <c r="AP7" i="15"/>
  <c r="C7" i="5"/>
  <c r="C7" i="14"/>
  <c r="C13" i="10"/>
  <c r="C11" i="7"/>
  <c r="C12" i="10"/>
  <c r="C8" i="9"/>
  <c r="I12" i="13"/>
  <c r="F13" i="13"/>
  <c r="I14" i="13"/>
  <c r="C14" i="13"/>
  <c r="E14" i="13"/>
  <c r="F14" i="13"/>
  <c r="G14" i="13"/>
  <c r="E10" i="13"/>
  <c r="C13" i="13"/>
  <c r="H10" i="13"/>
  <c r="H12" i="13"/>
  <c r="E11" i="13"/>
  <c r="F9" i="13"/>
  <c r="F11" i="13"/>
  <c r="E12" i="13"/>
  <c r="G11" i="13"/>
  <c r="E13" i="13"/>
  <c r="I9" i="13"/>
  <c r="I11" i="13"/>
  <c r="I13" i="13"/>
  <c r="G9" i="13"/>
  <c r="G13" i="13"/>
  <c r="C9" i="13"/>
  <c r="H9" i="13"/>
  <c r="H11" i="13"/>
  <c r="H13" i="13"/>
  <c r="C10" i="13"/>
  <c r="F10" i="13"/>
  <c r="F12" i="13"/>
  <c r="C11" i="13"/>
  <c r="G10" i="13"/>
  <c r="G12" i="13"/>
  <c r="E9" i="13"/>
  <c r="C12" i="13"/>
  <c r="I10" i="13"/>
  <c r="AP11" i="21"/>
  <c r="AD43" i="13"/>
  <c r="D12" i="7" l="1"/>
  <c r="B12" i="7"/>
  <c r="B7" i="5"/>
  <c r="D7" i="5"/>
  <c r="B8" i="7"/>
  <c r="D8" i="7"/>
  <c r="D9" i="14"/>
  <c r="B9" i="14"/>
  <c r="D9" i="6"/>
  <c r="B9" i="6"/>
  <c r="B11" i="16"/>
  <c r="D11" i="16"/>
  <c r="B13" i="10"/>
  <c r="D13" i="10"/>
  <c r="B10" i="9"/>
  <c r="D10" i="9"/>
  <c r="B8" i="14"/>
  <c r="D8" i="14"/>
  <c r="B9" i="21"/>
  <c r="D9" i="21"/>
  <c r="D12" i="6"/>
  <c r="B12" i="6"/>
  <c r="D9" i="16"/>
  <c r="B9" i="16"/>
  <c r="B7" i="16"/>
  <c r="D7" i="16"/>
  <c r="D10" i="16"/>
  <c r="B10" i="16"/>
  <c r="D12" i="9"/>
  <c r="B12" i="9"/>
  <c r="B8" i="10"/>
  <c r="D8" i="10"/>
  <c r="D11" i="6"/>
  <c r="B11" i="6"/>
  <c r="D9" i="10"/>
  <c r="B9" i="10"/>
  <c r="D9" i="9"/>
  <c r="B9" i="9"/>
  <c r="B11" i="8"/>
  <c r="D11" i="8"/>
  <c r="B8" i="9"/>
  <c r="D8" i="9"/>
  <c r="B13" i="9"/>
  <c r="D13" i="9"/>
  <c r="B10" i="6"/>
  <c r="D10" i="6"/>
  <c r="D10" i="14"/>
  <c r="B10" i="14"/>
  <c r="D8" i="21"/>
  <c r="B8" i="21"/>
  <c r="D10" i="8"/>
  <c r="B10" i="8"/>
  <c r="B9" i="7"/>
  <c r="D9" i="7"/>
  <c r="B13" i="7"/>
  <c r="D13" i="7"/>
  <c r="D10" i="5"/>
  <c r="B10" i="5"/>
  <c r="D7" i="14"/>
  <c r="B7" i="14"/>
  <c r="B13" i="6"/>
  <c r="D13" i="6"/>
  <c r="D12" i="10"/>
  <c r="D26" i="10" s="1"/>
  <c r="B12" i="10"/>
  <c r="B8" i="16"/>
  <c r="D8" i="16"/>
  <c r="D10" i="21"/>
  <c r="B10" i="21"/>
  <c r="B9" i="5"/>
  <c r="D9" i="5"/>
  <c r="B11" i="21"/>
  <c r="D11" i="21"/>
  <c r="D11" i="9"/>
  <c r="B11" i="9"/>
  <c r="B11" i="10"/>
  <c r="D11" i="10"/>
  <c r="D7" i="21"/>
  <c r="B7" i="21"/>
  <c r="B8" i="5"/>
  <c r="D8" i="5"/>
  <c r="B11" i="7"/>
  <c r="D11" i="7"/>
  <c r="D7" i="8"/>
  <c r="B7" i="8"/>
  <c r="B21" i="8" s="1"/>
  <c r="B8" i="8"/>
  <c r="D8" i="8"/>
  <c r="D10" i="7"/>
  <c r="B10" i="7"/>
  <c r="B9" i="8"/>
  <c r="D9" i="8"/>
  <c r="D23" i="8" s="1"/>
  <c r="B10" i="10"/>
  <c r="D10" i="10"/>
  <c r="AP8" i="21"/>
  <c r="AO8" i="21" s="1"/>
  <c r="AQ6" i="23"/>
  <c r="AR6" i="23"/>
  <c r="AO6" i="23"/>
  <c r="AQ7" i="15"/>
  <c r="AP9" i="21"/>
  <c r="AQ9" i="21" s="1"/>
  <c r="B27" i="10"/>
  <c r="AP11" i="8"/>
  <c r="AP7" i="21"/>
  <c r="AR7" i="21" s="1"/>
  <c r="AP10" i="21"/>
  <c r="AO10" i="21" s="1"/>
  <c r="AQ10" i="22"/>
  <c r="AQ7" i="22"/>
  <c r="AO10" i="15"/>
  <c r="AO8" i="15"/>
  <c r="AQ9" i="15"/>
  <c r="AQ8" i="22"/>
  <c r="AQ9" i="22"/>
  <c r="AQ6" i="15"/>
  <c r="AR6" i="22"/>
  <c r="AP6" i="21"/>
  <c r="AO6" i="21" s="1"/>
  <c r="AR11" i="21"/>
  <c r="AQ11" i="21"/>
  <c r="AO11" i="21"/>
  <c r="K17" i="8"/>
  <c r="AE17" i="10"/>
  <c r="E3" i="8"/>
  <c r="E3" i="15"/>
  <c r="E3" i="18"/>
  <c r="E3" i="9"/>
  <c r="E3" i="10"/>
  <c r="E3" i="7"/>
  <c r="E3" i="6"/>
  <c r="AE3" i="14"/>
  <c r="AE3" i="6"/>
  <c r="AB17" i="10"/>
  <c r="Y17" i="10"/>
  <c r="AO7" i="15" l="1"/>
  <c r="AR7" i="15"/>
  <c r="AQ8" i="21"/>
  <c r="B25" i="8"/>
  <c r="D24" i="8"/>
  <c r="AP5" i="23"/>
  <c r="AR5" i="23" s="1"/>
  <c r="AW6" i="23" s="1"/>
  <c r="AO9" i="21"/>
  <c r="AR8" i="21"/>
  <c r="AR9" i="21"/>
  <c r="AQ9" i="23"/>
  <c r="AR9" i="23"/>
  <c r="AO9" i="23"/>
  <c r="AR7" i="23"/>
  <c r="AO7" i="23"/>
  <c r="AQ7" i="23"/>
  <c r="AQ8" i="23"/>
  <c r="AR8" i="23"/>
  <c r="AO8" i="23"/>
  <c r="AQ10" i="23"/>
  <c r="AR10" i="23"/>
  <c r="AO10" i="23"/>
  <c r="AQ11" i="23"/>
  <c r="AR11" i="23"/>
  <c r="AQ11" i="22"/>
  <c r="AQ8" i="15"/>
  <c r="AR11" i="15"/>
  <c r="AQ11" i="15"/>
  <c r="D27" i="10"/>
  <c r="AO8" i="22"/>
  <c r="AR11" i="22"/>
  <c r="AO9" i="22"/>
  <c r="B22" i="8"/>
  <c r="B26" i="10"/>
  <c r="B24" i="10"/>
  <c r="D21" i="8"/>
  <c r="AO7" i="21"/>
  <c r="D25" i="10"/>
  <c r="AR7" i="22"/>
  <c r="AQ7" i="21"/>
  <c r="AR6" i="21"/>
  <c r="AO9" i="15"/>
  <c r="AR8" i="15"/>
  <c r="B23" i="8"/>
  <c r="C25" i="10"/>
  <c r="AQ6" i="21"/>
  <c r="AQ10" i="21"/>
  <c r="AR8" i="22"/>
  <c r="AO7" i="22"/>
  <c r="AR10" i="15"/>
  <c r="AP5" i="21"/>
  <c r="AR5" i="21" s="1"/>
  <c r="AW6" i="21" s="1"/>
  <c r="BA6" i="21" s="1"/>
  <c r="AR10" i="21"/>
  <c r="AR9" i="22"/>
  <c r="AO10" i="22"/>
  <c r="AR10" i="22"/>
  <c r="D22" i="10"/>
  <c r="AQ6" i="22"/>
  <c r="AQ10" i="15"/>
  <c r="D23" i="10"/>
  <c r="AO6" i="15"/>
  <c r="AR6" i="15"/>
  <c r="AP5" i="15"/>
  <c r="AR5" i="15" s="1"/>
  <c r="AW6" i="15" s="1"/>
  <c r="BA6" i="15" s="1"/>
  <c r="AP5" i="22"/>
  <c r="AO6" i="22"/>
  <c r="AR9" i="15"/>
  <c r="C20" i="8"/>
  <c r="D20" i="8"/>
  <c r="C26" i="10"/>
  <c r="B20" i="8"/>
  <c r="D24" i="10"/>
  <c r="C22" i="10"/>
  <c r="C24" i="10"/>
  <c r="C21" i="8"/>
  <c r="B22" i="10"/>
  <c r="C23" i="10"/>
  <c r="C22" i="8"/>
  <c r="C25" i="8"/>
  <c r="B23" i="10"/>
  <c r="C23" i="8"/>
  <c r="C27" i="10"/>
  <c r="D22" i="8"/>
  <c r="B25" i="10"/>
  <c r="C24" i="8"/>
  <c r="D25" i="8"/>
  <c r="B24" i="8"/>
  <c r="BA6" i="23" l="1"/>
  <c r="AT7" i="21"/>
  <c r="AV7" i="21" s="1"/>
  <c r="AT7" i="23"/>
  <c r="AT6" i="23"/>
  <c r="AV6" i="23" s="1"/>
  <c r="AT11" i="23"/>
  <c r="AT9" i="23"/>
  <c r="AT8" i="23"/>
  <c r="AT10" i="23"/>
  <c r="AT10" i="15"/>
  <c r="AV10" i="15" s="1"/>
  <c r="AT9" i="22"/>
  <c r="AV9" i="22" s="1"/>
  <c r="AT8" i="21"/>
  <c r="AV8" i="21" s="1"/>
  <c r="AT11" i="21"/>
  <c r="AV11" i="21" s="1"/>
  <c r="AT9" i="21"/>
  <c r="AV9" i="21" s="1"/>
  <c r="AT6" i="21"/>
  <c r="AV6" i="21" s="1"/>
  <c r="AT10" i="21"/>
  <c r="AV10" i="21" s="1"/>
  <c r="AT11" i="22"/>
  <c r="AV11" i="22" s="1"/>
  <c r="AT11" i="15"/>
  <c r="AV11" i="15" s="1"/>
  <c r="AT8" i="22"/>
  <c r="AV8" i="22" s="1"/>
  <c r="AT7" i="22"/>
  <c r="AU7" i="22" s="1"/>
  <c r="AT10" i="22"/>
  <c r="AV10" i="22" s="1"/>
  <c r="AT7" i="15"/>
  <c r="AT6" i="22"/>
  <c r="AV6" i="22" s="1"/>
  <c r="AT6" i="15"/>
  <c r="AU6" i="15" s="1"/>
  <c r="AT8" i="15"/>
  <c r="AU8" i="15" s="1"/>
  <c r="AT9" i="15"/>
  <c r="AU9" i="15" s="1"/>
  <c r="AR5" i="22"/>
  <c r="AW6" i="22" s="1"/>
  <c r="BB6" i="21"/>
  <c r="BD6" i="21" s="1"/>
  <c r="AX6" i="21"/>
  <c r="AX6" i="15" l="1"/>
  <c r="C6" i="15" s="1"/>
  <c r="AU7" i="21"/>
  <c r="BB6" i="23"/>
  <c r="BD6" i="23" s="1"/>
  <c r="AU11" i="23"/>
  <c r="AV7" i="23"/>
  <c r="AW7" i="23"/>
  <c r="AX6" i="23"/>
  <c r="C6" i="23" s="1"/>
  <c r="AW7" i="21"/>
  <c r="AX7" i="21" s="1"/>
  <c r="AZ7" i="21" s="1"/>
  <c r="AV11" i="23"/>
  <c r="AU7" i="23"/>
  <c r="AU6" i="23"/>
  <c r="AV8" i="23"/>
  <c r="AU8" i="23"/>
  <c r="AU9" i="23"/>
  <c r="AV9" i="23"/>
  <c r="AV10" i="23"/>
  <c r="AU10" i="23"/>
  <c r="AU10" i="15"/>
  <c r="AU8" i="21"/>
  <c r="AW8" i="21"/>
  <c r="AX8" i="21" s="1"/>
  <c r="AV7" i="15"/>
  <c r="AU7" i="15"/>
  <c r="AU11" i="21"/>
  <c r="AU9" i="22"/>
  <c r="AU9" i="21"/>
  <c r="AU10" i="21"/>
  <c r="AU6" i="21"/>
  <c r="AU6" i="22"/>
  <c r="AV7" i="22"/>
  <c r="AX6" i="22"/>
  <c r="AZ6" i="22" s="1"/>
  <c r="AU11" i="22"/>
  <c r="AV9" i="15"/>
  <c r="AV8" i="15"/>
  <c r="AU10" i="22"/>
  <c r="AU8" i="22"/>
  <c r="AU11" i="15"/>
  <c r="BB6" i="15"/>
  <c r="BC6" i="15" s="1"/>
  <c r="AW7" i="15"/>
  <c r="AW8" i="15" s="1"/>
  <c r="AW9" i="15" s="1"/>
  <c r="AW10" i="15" s="1"/>
  <c r="AW11" i="15" s="1"/>
  <c r="AV6" i="15"/>
  <c r="AW7" i="22"/>
  <c r="AW8" i="22" s="1"/>
  <c r="AW9" i="22" s="1"/>
  <c r="AW10" i="22" s="1"/>
  <c r="AW11" i="22" s="1"/>
  <c r="BA6" i="22"/>
  <c r="BB6" i="22" s="1"/>
  <c r="BC6" i="21"/>
  <c r="AZ6" i="21"/>
  <c r="AY6" i="21"/>
  <c r="AW9" i="21"/>
  <c r="D6" i="15" l="1"/>
  <c r="B6" i="15"/>
  <c r="D6" i="23"/>
  <c r="B6" i="23"/>
  <c r="C6" i="22"/>
  <c r="BD6" i="22"/>
  <c r="AZ6" i="15"/>
  <c r="AY6" i="15"/>
  <c r="BC6" i="23"/>
  <c r="AY6" i="23"/>
  <c r="AZ6" i="23"/>
  <c r="AW8" i="23"/>
  <c r="BA7" i="23"/>
  <c r="BB7" i="23" s="1"/>
  <c r="AX7" i="23"/>
  <c r="C7" i="23" s="1"/>
  <c r="BA7" i="21"/>
  <c r="BB7" i="21" s="1"/>
  <c r="BC7" i="21" s="1"/>
  <c r="AY6" i="22"/>
  <c r="BA7" i="15"/>
  <c r="BB7" i="15" s="1"/>
  <c r="BC7" i="15" s="1"/>
  <c r="AX7" i="22"/>
  <c r="AZ7" i="22" s="1"/>
  <c r="AX9" i="15"/>
  <c r="C15" i="15" s="1"/>
  <c r="BD6" i="15"/>
  <c r="AX8" i="15"/>
  <c r="AX7" i="15"/>
  <c r="AZ7" i="15" s="1"/>
  <c r="BC6" i="22"/>
  <c r="BA7" i="22"/>
  <c r="BB7" i="22" s="1"/>
  <c r="BA8" i="21"/>
  <c r="BB8" i="21" s="1"/>
  <c r="BD8" i="21" s="1"/>
  <c r="AX10" i="15"/>
  <c r="C18" i="15" s="1"/>
  <c r="AY7" i="21"/>
  <c r="AX8" i="22"/>
  <c r="AX9" i="21"/>
  <c r="BA9" i="21"/>
  <c r="BB9" i="21" s="1"/>
  <c r="AW10" i="21"/>
  <c r="AZ8" i="21"/>
  <c r="AY8" i="21"/>
  <c r="D18" i="15" l="1"/>
  <c r="B18" i="15"/>
  <c r="B15" i="15"/>
  <c r="D15" i="15"/>
  <c r="D7" i="23"/>
  <c r="B7" i="23"/>
  <c r="BC7" i="22"/>
  <c r="C7" i="22"/>
  <c r="B6" i="22"/>
  <c r="D6" i="22"/>
  <c r="BD7" i="23"/>
  <c r="BC7" i="23"/>
  <c r="AY7" i="23"/>
  <c r="AZ7" i="23"/>
  <c r="AW9" i="23"/>
  <c r="AX8" i="23"/>
  <c r="C8" i="23" s="1"/>
  <c r="BA8" i="23"/>
  <c r="BB8" i="23" s="1"/>
  <c r="BD7" i="21"/>
  <c r="C9" i="15"/>
  <c r="AY7" i="15"/>
  <c r="BD7" i="15"/>
  <c r="BA8" i="15"/>
  <c r="BB8" i="15" s="1"/>
  <c r="AY7" i="22"/>
  <c r="AZ9" i="15"/>
  <c r="C12" i="15"/>
  <c r="AY8" i="15"/>
  <c r="AZ8" i="15"/>
  <c r="AY9" i="15"/>
  <c r="BA8" i="22"/>
  <c r="BB8" i="22" s="1"/>
  <c r="BD7" i="22"/>
  <c r="AX11" i="15"/>
  <c r="C21" i="15" s="1"/>
  <c r="BC8" i="21"/>
  <c r="AX9" i="22"/>
  <c r="AZ8" i="22"/>
  <c r="AY8" i="22"/>
  <c r="AX10" i="21"/>
  <c r="BA10" i="21"/>
  <c r="BB10" i="21" s="1"/>
  <c r="AW11" i="21"/>
  <c r="BD9" i="21"/>
  <c r="BC9" i="21"/>
  <c r="AZ9" i="21"/>
  <c r="AY9" i="21"/>
  <c r="AZ10" i="15"/>
  <c r="AY10" i="15"/>
  <c r="B9" i="15" l="1"/>
  <c r="D9" i="15"/>
  <c r="B21" i="15"/>
  <c r="D21" i="15"/>
  <c r="D12" i="15"/>
  <c r="B12" i="15"/>
  <c r="D8" i="23"/>
  <c r="B8" i="23"/>
  <c r="BD8" i="22"/>
  <c r="C8" i="22"/>
  <c r="B7" i="22"/>
  <c r="D7" i="22"/>
  <c r="BD8" i="23"/>
  <c r="BC8" i="23"/>
  <c r="AZ8" i="23"/>
  <c r="AY8" i="23"/>
  <c r="AW10" i="23"/>
  <c r="AW11" i="23" s="1"/>
  <c r="AX9" i="23"/>
  <c r="C9" i="23" s="1"/>
  <c r="BA9" i="23"/>
  <c r="BB9" i="23" s="1"/>
  <c r="BA9" i="15"/>
  <c r="BA10" i="15" s="1"/>
  <c r="BA9" i="22"/>
  <c r="BB9" i="22" s="1"/>
  <c r="BC8" i="22"/>
  <c r="AY9" i="22"/>
  <c r="AZ9" i="22"/>
  <c r="AX10" i="22"/>
  <c r="BA11" i="21"/>
  <c r="BB11" i="21" s="1"/>
  <c r="AX11" i="21"/>
  <c r="BD10" i="21"/>
  <c r="BC10" i="21"/>
  <c r="AZ10" i="21"/>
  <c r="AY10" i="21"/>
  <c r="BD8" i="15"/>
  <c r="BC8" i="15"/>
  <c r="AZ11" i="15"/>
  <c r="AY11" i="15"/>
  <c r="AX11" i="23" l="1"/>
  <c r="B9" i="23"/>
  <c r="D9" i="23"/>
  <c r="BD9" i="22"/>
  <c r="C9" i="22"/>
  <c r="B8" i="22"/>
  <c r="D8" i="22"/>
  <c r="BD9" i="23"/>
  <c r="BC9" i="23"/>
  <c r="AZ9" i="23"/>
  <c r="AY9" i="23"/>
  <c r="AX10" i="23"/>
  <c r="C10" i="23" s="1"/>
  <c r="BA10" i="23"/>
  <c r="BB10" i="23" s="1"/>
  <c r="BB9" i="15"/>
  <c r="BD9" i="15" s="1"/>
  <c r="BA10" i="22"/>
  <c r="BB10" i="22" s="1"/>
  <c r="BC9" i="22"/>
  <c r="AZ10" i="22"/>
  <c r="AY10" i="22"/>
  <c r="AX11" i="22"/>
  <c r="AZ11" i="21"/>
  <c r="AY11" i="21"/>
  <c r="BD11" i="21"/>
  <c r="BC11" i="21"/>
  <c r="BB10" i="15"/>
  <c r="BA11" i="15"/>
  <c r="BB11" i="15" s="1"/>
  <c r="BA11" i="23" l="1"/>
  <c r="BB11" i="23" s="1"/>
  <c r="C11" i="23"/>
  <c r="AZ11" i="23"/>
  <c r="AY11" i="23"/>
  <c r="D10" i="23"/>
  <c r="B10" i="23"/>
  <c r="C10" i="22"/>
  <c r="D10" i="22" s="1"/>
  <c r="B9" i="22"/>
  <c r="D9" i="22"/>
  <c r="BC10" i="23"/>
  <c r="BD10" i="23"/>
  <c r="AZ10" i="23"/>
  <c r="AY10" i="23"/>
  <c r="BC9" i="15"/>
  <c r="BD10" i="22"/>
  <c r="BC10" i="22"/>
  <c r="BA11" i="22"/>
  <c r="BB11" i="22" s="1"/>
  <c r="AZ11" i="22"/>
  <c r="AY11" i="22"/>
  <c r="BC10" i="15"/>
  <c r="BD10" i="15"/>
  <c r="BD11" i="15"/>
  <c r="BC11" i="15"/>
  <c r="D11" i="23" l="1"/>
  <c r="B11" i="23"/>
  <c r="BD11" i="23"/>
  <c r="BC11" i="23"/>
  <c r="B10" i="22"/>
  <c r="BC11" i="22"/>
  <c r="C11" i="22"/>
  <c r="BD11" i="22"/>
  <c r="AO10" i="18"/>
  <c r="AO9" i="18"/>
  <c r="D11" i="22" l="1"/>
  <c r="B11" i="22"/>
  <c r="AO7" i="18"/>
  <c r="AO8" i="18"/>
  <c r="AQ6" i="18"/>
  <c r="AR6" i="18"/>
  <c r="AR10" i="18"/>
  <c r="AQ10" i="18"/>
  <c r="AR11" i="18"/>
  <c r="AQ11" i="18"/>
  <c r="AQ9" i="18"/>
  <c r="AR9" i="18"/>
  <c r="AO6" i="18"/>
  <c r="AQ7" i="18"/>
  <c r="AR7" i="18"/>
  <c r="AR8" i="18"/>
  <c r="AQ8" i="18"/>
  <c r="AT9" i="18" l="1"/>
  <c r="AV9" i="18" s="1"/>
  <c r="AT8" i="18"/>
  <c r="AV8" i="18" s="1"/>
  <c r="AT7" i="18"/>
  <c r="AT11" i="18"/>
  <c r="AT10" i="18"/>
  <c r="AT6" i="18"/>
  <c r="AU9" i="18" l="1"/>
  <c r="AU8" i="18"/>
  <c r="AV6" i="18"/>
  <c r="AU6" i="18"/>
  <c r="AV10" i="18"/>
  <c r="AU10" i="18"/>
  <c r="AU11" i="18"/>
  <c r="AV11" i="18"/>
  <c r="AV7" i="18"/>
  <c r="AU7" i="18"/>
  <c r="AP5" i="18" l="1"/>
  <c r="AR5" i="18" s="1"/>
  <c r="AW6" i="18" s="1"/>
  <c r="AW7" i="18" s="1"/>
  <c r="AW8" i="18" s="1"/>
  <c r="AW9" i="18" s="1"/>
  <c r="AW10" i="18" s="1"/>
  <c r="AW11" i="18" s="1"/>
  <c r="AC1" i="13" l="1"/>
  <c r="AX7" i="18" l="1"/>
  <c r="C7" i="18" s="1"/>
  <c r="BA6" i="18"/>
  <c r="BB6" i="18" s="1"/>
  <c r="AX6" i="18"/>
  <c r="C6" i="18" s="1"/>
  <c r="D6" i="18" l="1"/>
  <c r="B6" i="18"/>
  <c r="D7" i="18"/>
  <c r="B7" i="18"/>
  <c r="AZ6" i="18"/>
  <c r="AY6" i="18"/>
  <c r="BC6" i="18"/>
  <c r="BD6" i="18"/>
  <c r="BA7" i="18"/>
  <c r="BB7" i="18" s="1"/>
  <c r="AZ7" i="18"/>
  <c r="AY7" i="18"/>
  <c r="AX8" i="18"/>
  <c r="C8" i="18" s="1"/>
  <c r="B8" i="18" l="1"/>
  <c r="D8" i="18"/>
  <c r="BC7" i="18"/>
  <c r="BD7" i="18"/>
  <c r="AX9" i="18"/>
  <c r="C9" i="18" s="1"/>
  <c r="AY8" i="18"/>
  <c r="AZ8" i="18"/>
  <c r="BA8" i="18"/>
  <c r="BB8" i="18" s="1"/>
  <c r="D9" i="18" l="1"/>
  <c r="B9" i="18"/>
  <c r="BA9" i="18"/>
  <c r="BB9" i="18" s="1"/>
  <c r="AZ9" i="18"/>
  <c r="AY9" i="18"/>
  <c r="AX10" i="18"/>
  <c r="C10" i="18" s="1"/>
  <c r="BD8" i="18"/>
  <c r="BC8" i="18"/>
  <c r="D10" i="18" l="1"/>
  <c r="B10" i="18"/>
  <c r="BA10" i="18"/>
  <c r="BB10" i="18" s="1"/>
  <c r="AX11" i="18"/>
  <c r="C11" i="18" s="1"/>
  <c r="AZ10" i="18"/>
  <c r="AY10" i="18"/>
  <c r="BC9" i="18"/>
  <c r="BD9" i="18"/>
  <c r="B11" i="18" l="1"/>
  <c r="D11" i="18"/>
  <c r="BD10" i="18"/>
  <c r="BC10" i="18"/>
  <c r="BA11" i="18"/>
  <c r="BB11" i="18" s="1"/>
  <c r="AZ11" i="18"/>
  <c r="AY11" i="18"/>
  <c r="BC11" i="18" l="1"/>
  <c r="BD11" i="18"/>
</calcChain>
</file>

<file path=xl/sharedStrings.xml><?xml version="1.0" encoding="utf-8"?>
<sst xmlns="http://schemas.openxmlformats.org/spreadsheetml/2006/main" count="884" uniqueCount="184">
  <si>
    <t>Date</t>
  </si>
  <si>
    <t>Squad</t>
  </si>
  <si>
    <t>Range</t>
  </si>
  <si>
    <t>Name</t>
  </si>
  <si>
    <t>TOTAL</t>
  </si>
  <si>
    <t>Recorded</t>
  </si>
  <si>
    <t>Scorer</t>
  </si>
  <si>
    <t>Board</t>
  </si>
  <si>
    <t>Computer</t>
  </si>
  <si>
    <t>Umpire</t>
  </si>
  <si>
    <t>Stand 1</t>
  </si>
  <si>
    <t>Stand 2</t>
  </si>
  <si>
    <t>Stand 3</t>
  </si>
  <si>
    <t>Stand 4</t>
  </si>
  <si>
    <t>Stand 5</t>
  </si>
  <si>
    <t>Stand 6</t>
  </si>
  <si>
    <t>Stand 7</t>
  </si>
  <si>
    <t>Stand 8</t>
  </si>
  <si>
    <t>H</t>
  </si>
  <si>
    <t>L</t>
  </si>
  <si>
    <t>RPT</t>
  </si>
  <si>
    <t>Date:</t>
  </si>
  <si>
    <t>Pos</t>
  </si>
  <si>
    <t>SIGN</t>
  </si>
  <si>
    <t>Stand</t>
  </si>
  <si>
    <t>Stand2</t>
  </si>
  <si>
    <t>Sign</t>
  </si>
  <si>
    <t>Choose</t>
  </si>
  <si>
    <t>Targets</t>
  </si>
  <si>
    <t>WAIT</t>
  </si>
  <si>
    <t xml:space="preserve">Club Name </t>
  </si>
  <si>
    <t>DH</t>
  </si>
  <si>
    <t>DL</t>
  </si>
  <si>
    <t>Squad:</t>
  </si>
  <si>
    <t>Range:</t>
  </si>
  <si>
    <t>Round:</t>
  </si>
  <si>
    <t>Peg</t>
  </si>
  <si>
    <t>No.</t>
  </si>
  <si>
    <t>Cat</t>
  </si>
  <si>
    <t>Rotation</t>
  </si>
  <si>
    <t>Number</t>
  </si>
  <si>
    <t>Valley Gun Club</t>
  </si>
  <si>
    <t>S</t>
  </si>
  <si>
    <t>Squad size</t>
  </si>
  <si>
    <t>Round</t>
  </si>
  <si>
    <t>Raw</t>
  </si>
  <si>
    <t>Compressed</t>
  </si>
  <si>
    <t>Anti</t>
  </si>
  <si>
    <t>Clockwise</t>
  </si>
  <si>
    <t>Instructions</t>
  </si>
  <si>
    <t>•</t>
  </si>
  <si>
    <t>This workbook is used to print scoresheets with squads already inserted</t>
  </si>
  <si>
    <t>Category</t>
  </si>
  <si>
    <t>ATA Trap</t>
  </si>
  <si>
    <t>Trap Doubles</t>
  </si>
  <si>
    <t>Handicap</t>
  </si>
  <si>
    <t>DTL</t>
  </si>
  <si>
    <t>Skeet</t>
  </si>
  <si>
    <t>Skeet Doubles</t>
  </si>
  <si>
    <t>Olympic Skeet</t>
  </si>
  <si>
    <t>English Skeet</t>
  </si>
  <si>
    <t>Trench</t>
  </si>
  <si>
    <t>Olympic Trap</t>
  </si>
  <si>
    <t>Olympic Doubles</t>
  </si>
  <si>
    <t>Trap 1</t>
  </si>
  <si>
    <t>FITASC Sporting</t>
  </si>
  <si>
    <t>English Sporting</t>
  </si>
  <si>
    <t>Compak</t>
  </si>
  <si>
    <t xml:space="preserve">Select a Discipline: </t>
  </si>
  <si>
    <t>A</t>
  </si>
  <si>
    <t>B</t>
  </si>
  <si>
    <t>C</t>
  </si>
  <si>
    <t>_</t>
  </si>
  <si>
    <t>Class</t>
  </si>
  <si>
    <t>Prov</t>
  </si>
  <si>
    <t>CTSASA</t>
  </si>
  <si>
    <t>Ctry</t>
  </si>
  <si>
    <t>SV</t>
  </si>
  <si>
    <t>WC</t>
  </si>
  <si>
    <t>ZAF</t>
  </si>
  <si>
    <t>Henderson Rob</t>
  </si>
  <si>
    <t>V</t>
  </si>
  <si>
    <t>J</t>
  </si>
  <si>
    <t>Ct</t>
  </si>
  <si>
    <t>M</t>
  </si>
  <si>
    <t>Ms</t>
  </si>
  <si>
    <t>Open</t>
  </si>
  <si>
    <t>AA</t>
  </si>
  <si>
    <t>U/C</t>
  </si>
  <si>
    <t>Grimmbacher Corne</t>
  </si>
  <si>
    <t>Province</t>
  </si>
  <si>
    <t>NC</t>
  </si>
  <si>
    <t>FS</t>
  </si>
  <si>
    <t>CG</t>
  </si>
  <si>
    <t>LIM</t>
  </si>
  <si>
    <t>KZN</t>
  </si>
  <si>
    <t>EC</t>
  </si>
  <si>
    <t>MP</t>
  </si>
  <si>
    <t>GN</t>
  </si>
  <si>
    <t>Sqd Size</t>
  </si>
  <si>
    <t>HITS</t>
  </si>
  <si>
    <t>Choose Rotation</t>
  </si>
  <si>
    <t>Anti-Clockwise</t>
  </si>
  <si>
    <t xml:space="preserve">Rotation Set As: </t>
  </si>
  <si>
    <t>Print Scoresheets with Squads  Inserted</t>
  </si>
  <si>
    <t>Squads are rotated depending on the round number on the scoresheet</t>
  </si>
  <si>
    <t>For Printing, the print area is already set. So just select the print menu and how many sheets must be printed for a squad</t>
  </si>
  <si>
    <t>For FITASC print only 1 sheet at a time and increment the round number after each Print</t>
  </si>
  <si>
    <t>On the Choice Sheet enter the Club Name and Date of the shoot</t>
  </si>
  <si>
    <t>This then appears on each sheet</t>
  </si>
  <si>
    <t>Choice Sheet</t>
  </si>
  <si>
    <t>Select the Discipline to be shot</t>
  </si>
  <si>
    <t>Nothing can be entered in the first table</t>
  </si>
  <si>
    <t>In the bottom table list all the names of the shooters</t>
  </si>
  <si>
    <t>You can now squad the shooters by entering their squad number and Peg position in any order</t>
  </si>
  <si>
    <t>As you enter the squad number the counter to the left counts how many you have in that squad number</t>
  </si>
  <si>
    <t>You then enter the peg position for each shooter</t>
  </si>
  <si>
    <t>If you enter the same peg position in the same squad twice, the peg position turns red to warn of an error</t>
  </si>
  <si>
    <t>Top Table</t>
  </si>
  <si>
    <t>Now enter the Squad number  above the Top Table</t>
  </si>
  <si>
    <t>Select the Scoresheet and Print it.</t>
  </si>
  <si>
    <t>Bottom Table</t>
  </si>
  <si>
    <t>New Workbook</t>
  </si>
  <si>
    <t>Warning!  Highlight what you want to delete and press the "delete" button on the keyboard. Do NOT use "Clear All"</t>
  </si>
  <si>
    <t xml:space="preserve">For help contact Brian Black at 082 517 5710 or bblack@intabanet.co.za </t>
  </si>
  <si>
    <t>For FITASC, on the scoresheet, use the drop down menu to select the direction the squad will be rotated after each round</t>
  </si>
  <si>
    <t>Depending on the discipline selected, the first table shows a squad size of 5 or 6</t>
  </si>
  <si>
    <t>If you go over the maximum squad size for the chosen discipline the counter turns red</t>
  </si>
  <si>
    <t>You are prevented from entering a peg position not allowed for the dicipline chosen. E.G. Peg 6 for Trap</t>
  </si>
  <si>
    <t>To Start a New Workbook, delete everything in the white cells on the Choice sheet and the round number on the Scoresheets last used</t>
  </si>
  <si>
    <t>Adriaan Jonathan</t>
  </si>
  <si>
    <t>Bodenstein Riaan</t>
  </si>
  <si>
    <t>Bonsma Marnus</t>
  </si>
  <si>
    <t>Bornman Cornel</t>
  </si>
  <si>
    <t>Brown Damon</t>
  </si>
  <si>
    <t>Brown Jenna</t>
  </si>
  <si>
    <t>Burke Nicola</t>
  </si>
  <si>
    <t>Corbett Johannes</t>
  </si>
  <si>
    <t>de_Wet Erik</t>
  </si>
  <si>
    <t>de_Wet Jaco</t>
  </si>
  <si>
    <t>Jonck Johan</t>
  </si>
  <si>
    <t>Jones Jesse</t>
  </si>
  <si>
    <t>Louw Renier</t>
  </si>
  <si>
    <t>Malherbe Gideon</t>
  </si>
  <si>
    <t>Martin Barry</t>
  </si>
  <si>
    <t>Marx Zandre</t>
  </si>
  <si>
    <t>Meredith Warren</t>
  </si>
  <si>
    <t>Meyer Coenraad</t>
  </si>
  <si>
    <t>Owen James</t>
  </si>
  <si>
    <t>Papendorf Max</t>
  </si>
  <si>
    <t>Patience Bruce</t>
  </si>
  <si>
    <t>Peacock Juane</t>
  </si>
  <si>
    <t>Peacock Luca</t>
  </si>
  <si>
    <t>Pienaar Schalk</t>
  </si>
  <si>
    <t>Rabie Johannes</t>
  </si>
  <si>
    <t>Rheeder Pieter</t>
  </si>
  <si>
    <t>Roos Hendrik</t>
  </si>
  <si>
    <t>Smit Quinlan</t>
  </si>
  <si>
    <t>Springorum Ruan</t>
  </si>
  <si>
    <t>Stofberg-Rabie Zanelle</t>
  </si>
  <si>
    <t>v_d_Merwe Henry</t>
  </si>
  <si>
    <t>Vermaak Coen</t>
  </si>
  <si>
    <t>Vermaak Coen (Jnr)</t>
  </si>
  <si>
    <t>Vos Jonathan</t>
  </si>
  <si>
    <t>Meyeridricks Niel</t>
  </si>
  <si>
    <t>Meyeridricks Hermann</t>
  </si>
  <si>
    <t>dos_Santos Gabriel</t>
  </si>
  <si>
    <t>Malherbe Fanie</t>
  </si>
  <si>
    <t>INT</t>
  </si>
  <si>
    <t>Copyright Brian Black   C: +27 (0)52 517 5710   E:  brianb@acuteacc.co.za</t>
  </si>
  <si>
    <t>For the FITASC Disciplines, including  Trench, the squads are rotated on the scoresheet either Clockwise or Anti-Clockwise after each round</t>
  </si>
  <si>
    <t>Everything on the Scoresheets is picked up from the "Choice" Sheet except the squad number, range nuimber and round number</t>
  </si>
  <si>
    <r>
      <t xml:space="preserve">Entering Category, Classification, Province, CTSASA Number and Shooter Number </t>
    </r>
    <r>
      <rPr>
        <b/>
        <u/>
        <sz val="10"/>
        <rFont val="Arial"/>
        <family val="2"/>
      </rPr>
      <t>is optional</t>
    </r>
  </si>
  <si>
    <r>
      <t xml:space="preserve">All Scoresheets are protected so you can only enter the Squad number, Round number and Range number </t>
    </r>
    <r>
      <rPr>
        <b/>
        <u/>
        <sz val="10"/>
        <rFont val="Arial"/>
        <family val="2"/>
      </rPr>
      <t>(optional)</t>
    </r>
    <r>
      <rPr>
        <sz val="10"/>
        <rFont val="Arial"/>
        <family val="2"/>
      </rPr>
      <t xml:space="preserve"> if you wish</t>
    </r>
  </si>
  <si>
    <t>This allows you to check if the squad is filled, all the peg positions are filled and you have the right mix of category, class and province</t>
  </si>
  <si>
    <t>As you enter a name you will see another row appear below it for the next name to be enetered - 200 rows are available</t>
  </si>
  <si>
    <t xml:space="preserve">Squad #: </t>
  </si>
  <si>
    <t>Scoresheet</t>
  </si>
  <si>
    <t>On the Scoresheet enter the squad number.  The shooters in that squad then appear on the scoresheet</t>
  </si>
  <si>
    <t>If the squad number is not entered you then have a blank scoresheet which you can print</t>
  </si>
  <si>
    <t>You can just select the Print Menu and print the number of copies you need.  The Print area is already set, so you do not have to select it</t>
  </si>
  <si>
    <t>You can enter the round number and range on each scoresheet before printing or just write this in afterwards</t>
  </si>
  <si>
    <t>For FITASC Diciplines the squad rotates, in the direction selected on the scoresheet, after each round</t>
  </si>
  <si>
    <t>The shooters in that squad appear in the top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</si>
</sst>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d\-mmm\-yy;@"/>
  </numFmts>
  <fonts count="43" x14ac:knownFonts="1">
    <font>
      <sz val="10"/>
      <name val="Arial"/>
    </font>
    <font>
      <sz val="12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indexed="9"/>
      <name val="Times New Roman"/>
      <family val="1"/>
    </font>
    <font>
      <sz val="16"/>
      <name val="Times New Roman"/>
      <family val="1"/>
    </font>
    <font>
      <sz val="12"/>
      <color indexed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20"/>
      <name val="Times New Roman"/>
      <family val="1"/>
    </font>
    <font>
      <b/>
      <i/>
      <sz val="12"/>
      <name val="Times New Roman"/>
      <family val="1"/>
    </font>
    <font>
      <i/>
      <sz val="10"/>
      <name val="Arial"/>
      <family val="2"/>
    </font>
    <font>
      <sz val="12"/>
      <color theme="0"/>
      <name val="Times New Roman"/>
      <family val="1"/>
    </font>
    <font>
      <b/>
      <u/>
      <sz val="10"/>
      <name val="Arial"/>
      <family val="2"/>
    </font>
    <font>
      <sz val="14"/>
      <color theme="0"/>
      <name val="Times New Roman"/>
      <family val="1"/>
    </font>
    <font>
      <sz val="12"/>
      <name val="Arial"/>
      <family val="2"/>
    </font>
    <font>
      <b/>
      <sz val="14"/>
      <color indexed="9"/>
      <name val="Times New Roman"/>
      <family val="1"/>
    </font>
    <font>
      <b/>
      <sz val="18"/>
      <color theme="0"/>
      <name val="Times New Roman"/>
      <family val="1"/>
    </font>
    <font>
      <sz val="10"/>
      <name val="Calibri"/>
      <family val="2"/>
    </font>
    <font>
      <sz val="10"/>
      <color rgb="FFCCFFFF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color theme="0"/>
      <name val="Times New Roman"/>
      <family val="1"/>
    </font>
    <font>
      <b/>
      <sz val="10"/>
      <color rgb="FFCCFFFF"/>
      <name val="Arial"/>
      <family val="2"/>
    </font>
    <font>
      <b/>
      <i/>
      <sz val="12"/>
      <name val="Arial"/>
      <family val="2"/>
    </font>
    <font>
      <sz val="8"/>
      <color theme="0" tint="-0.499984740745262"/>
      <name val="Arial"/>
      <family val="2"/>
    </font>
    <font>
      <sz val="12"/>
      <color theme="0" tint="-0.499984740745262"/>
      <name val="Times New Roman"/>
      <family val="1"/>
    </font>
    <font>
      <sz val="10"/>
      <color theme="0" tint="-0.499984740745262"/>
      <name val="Arial"/>
      <family val="2"/>
    </font>
    <font>
      <b/>
      <sz val="16"/>
      <color theme="0" tint="-0.49998474074526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2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5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3" fontId="3" fillId="0" borderId="1" xfId="2" applyNumberFormat="1" applyFont="1" applyBorder="1" applyAlignment="1" applyProtection="1">
      <alignment horizontal="center"/>
      <protection locked="0"/>
    </xf>
    <xf numFmtId="0" fontId="4" fillId="0" borderId="0" xfId="2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9" fillId="0" borderId="0" xfId="0" applyFont="1" applyFill="1" applyBorder="1" applyAlignment="1" applyProtection="1">
      <alignment horizontal="right"/>
    </xf>
    <xf numFmtId="0" fontId="14" fillId="0" borderId="0" xfId="0" applyFont="1"/>
    <xf numFmtId="0" fontId="16" fillId="0" borderId="0" xfId="0" applyFont="1"/>
    <xf numFmtId="0" fontId="0" fillId="3" borderId="0" xfId="0" applyFill="1"/>
    <xf numFmtId="0" fontId="0" fillId="3" borderId="0" xfId="0" applyFill="1" applyProtection="1"/>
    <xf numFmtId="0" fontId="19" fillId="3" borderId="0" xfId="0" applyFont="1" applyFill="1" applyBorder="1" applyAlignment="1">
      <alignment horizontal="right"/>
    </xf>
    <xf numFmtId="0" fontId="1" fillId="0" borderId="0" xfId="1"/>
    <xf numFmtId="0" fontId="4" fillId="0" borderId="1" xfId="1" applyFont="1" applyBorder="1" applyProtection="1">
      <protection locked="0"/>
    </xf>
    <xf numFmtId="0" fontId="6" fillId="0" borderId="0" xfId="1" applyFont="1"/>
    <xf numFmtId="0" fontId="15" fillId="3" borderId="0" xfId="0" applyFont="1" applyFill="1"/>
    <xf numFmtId="0" fontId="15" fillId="0" borderId="0" xfId="0" applyFont="1"/>
    <xf numFmtId="0" fontId="1" fillId="0" borderId="0" xfId="0" applyFont="1"/>
    <xf numFmtId="0" fontId="25" fillId="0" borderId="0" xfId="0" applyFont="1"/>
    <xf numFmtId="0" fontId="15" fillId="3" borderId="0" xfId="0" applyFont="1" applyFill="1" applyProtection="1">
      <protection locked="0"/>
    </xf>
    <xf numFmtId="0" fontId="1" fillId="0" borderId="0" xfId="2" applyFont="1"/>
    <xf numFmtId="0" fontId="29" fillId="0" borderId="69" xfId="0" applyFont="1" applyBorder="1" applyProtection="1">
      <protection locked="0"/>
    </xf>
    <xf numFmtId="0" fontId="26" fillId="0" borderId="0" xfId="0" applyFont="1"/>
    <xf numFmtId="0" fontId="31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22" fontId="15" fillId="0" borderId="0" xfId="0" applyNumberFormat="1" applyFont="1" applyFill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Alignment="1">
      <alignment horizontal="right"/>
    </xf>
    <xf numFmtId="0" fontId="14" fillId="4" borderId="17" xfId="0" applyFont="1" applyFill="1" applyBorder="1" applyAlignment="1">
      <alignment horizontal="center" textRotation="45"/>
    </xf>
    <xf numFmtId="0" fontId="0" fillId="3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5" fillId="0" borderId="17" xfId="0" applyFont="1" applyFill="1" applyBorder="1" applyAlignment="1" applyProtection="1">
      <alignment shrinkToFit="1"/>
      <protection locked="0"/>
    </xf>
    <xf numFmtId="0" fontId="15" fillId="0" borderId="17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shrinkToFit="1"/>
      <protection locked="0"/>
    </xf>
    <xf numFmtId="0" fontId="15" fillId="3" borderId="0" xfId="0" applyFont="1" applyFill="1" applyBorder="1" applyAlignment="1" applyProtection="1">
      <alignment shrinkToFit="1"/>
      <protection locked="0"/>
    </xf>
    <xf numFmtId="0" fontId="0" fillId="3" borderId="0" xfId="0" applyFill="1" applyAlignment="1" applyProtection="1">
      <alignment shrinkToFit="1"/>
      <protection locked="0"/>
    </xf>
    <xf numFmtId="0" fontId="15" fillId="3" borderId="0" xfId="0" applyFont="1" applyFill="1" applyProtection="1"/>
    <xf numFmtId="0" fontId="5" fillId="0" borderId="1" xfId="2" applyFont="1" applyBorder="1" applyProtection="1">
      <protection locked="0"/>
    </xf>
    <xf numFmtId="0" fontId="6" fillId="0" borderId="69" xfId="0" applyFont="1" applyBorder="1" applyProtection="1">
      <protection locked="0"/>
    </xf>
    <xf numFmtId="0" fontId="4" fillId="0" borderId="1" xfId="2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3" fillId="0" borderId="69" xfId="0" applyFont="1" applyBorder="1" applyProtection="1">
      <protection locked="0"/>
    </xf>
    <xf numFmtId="0" fontId="1" fillId="0" borderId="69" xfId="2" applyBorder="1" applyAlignment="1" applyProtection="1">
      <alignment horizontal="center"/>
      <protection locked="0"/>
    </xf>
    <xf numFmtId="0" fontId="25" fillId="0" borderId="0" xfId="2" applyFont="1"/>
    <xf numFmtId="0" fontId="34" fillId="0" borderId="0" xfId="0" applyFont="1"/>
    <xf numFmtId="0" fontId="25" fillId="0" borderId="0" xfId="0" applyFont="1" applyProtection="1">
      <protection locked="0"/>
    </xf>
    <xf numFmtId="0" fontId="25" fillId="0" borderId="0" xfId="1" applyFont="1" applyProtection="1">
      <protection locked="0"/>
    </xf>
    <xf numFmtId="0" fontId="18" fillId="6" borderId="66" xfId="0" applyFont="1" applyFill="1" applyBorder="1" applyAlignment="1">
      <alignment horizontal="left"/>
    </xf>
    <xf numFmtId="0" fontId="18" fillId="6" borderId="66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15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2" fillId="3" borderId="0" xfId="0" applyFont="1" applyFill="1"/>
    <xf numFmtId="0" fontId="37" fillId="4" borderId="17" xfId="0" applyFont="1" applyFill="1" applyBorder="1" applyAlignment="1">
      <alignment horizontal="center" textRotation="45"/>
    </xf>
    <xf numFmtId="0" fontId="32" fillId="3" borderId="0" xfId="0" applyFont="1" applyFill="1" applyProtection="1"/>
    <xf numFmtId="164" fontId="32" fillId="3" borderId="0" xfId="0" applyNumberFormat="1" applyFont="1" applyFill="1" applyProtection="1"/>
    <xf numFmtId="0" fontId="32" fillId="3" borderId="0" xfId="0" applyFont="1" applyFill="1" applyProtection="1">
      <protection locked="0"/>
    </xf>
    <xf numFmtId="0" fontId="14" fillId="7" borderId="17" xfId="0" applyFont="1" applyFill="1" applyBorder="1" applyAlignment="1">
      <alignment horizontal="center"/>
    </xf>
    <xf numFmtId="0" fontId="14" fillId="7" borderId="17" xfId="0" applyFont="1" applyFill="1" applyBorder="1" applyAlignment="1">
      <alignment shrinkToFit="1"/>
    </xf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" fillId="0" borderId="69" xfId="2" applyBorder="1" applyProtection="1">
      <protection locked="0"/>
    </xf>
    <xf numFmtId="0" fontId="14" fillId="4" borderId="17" xfId="0" applyFont="1" applyFill="1" applyBorder="1" applyAlignment="1">
      <alignment horizontal="center" textRotation="45" shrinkToFit="1"/>
    </xf>
    <xf numFmtId="0" fontId="38" fillId="0" borderId="0" xfId="0" applyFont="1" applyFill="1" applyAlignment="1" applyProtection="1">
      <alignment horizontal="center"/>
      <protection locked="0"/>
    </xf>
    <xf numFmtId="0" fontId="39" fillId="3" borderId="0" xfId="0" applyFont="1" applyFill="1" applyAlignment="1">
      <alignment horizontal="left"/>
    </xf>
    <xf numFmtId="3" fontId="6" fillId="0" borderId="69" xfId="0" applyNumberFormat="1" applyFont="1" applyBorder="1" applyAlignment="1" applyProtection="1">
      <alignment horizontal="center"/>
      <protection locked="0"/>
    </xf>
    <xf numFmtId="3" fontId="3" fillId="0" borderId="69" xfId="0" applyNumberFormat="1" applyFont="1" applyBorder="1" applyAlignment="1" applyProtection="1">
      <alignment horizontal="center"/>
      <protection locked="0"/>
    </xf>
    <xf numFmtId="3" fontId="3" fillId="0" borderId="1" xfId="1" applyNumberFormat="1" applyFont="1" applyBorder="1" applyAlignment="1" applyProtection="1">
      <alignment horizontal="center"/>
      <protection locked="0"/>
    </xf>
    <xf numFmtId="0" fontId="28" fillId="0" borderId="1" xfId="0" applyFont="1" applyBorder="1" applyProtection="1">
      <protection locked="0"/>
    </xf>
    <xf numFmtId="0" fontId="25" fillId="0" borderId="0" xfId="1" applyFont="1" applyProtection="1"/>
    <xf numFmtId="0" fontId="1" fillId="0" borderId="0" xfId="1" applyProtection="1"/>
    <xf numFmtId="0" fontId="12" fillId="0" borderId="0" xfId="2" applyFont="1" applyAlignment="1" applyProtection="1">
      <alignment horizontal="right"/>
    </xf>
    <xf numFmtId="0" fontId="20" fillId="0" borderId="0" xfId="1" applyFont="1" applyProtection="1"/>
    <xf numFmtId="0" fontId="2" fillId="0" borderId="0" xfId="1" applyFont="1" applyAlignment="1" applyProtection="1">
      <alignment horizontal="right"/>
    </xf>
    <xf numFmtId="0" fontId="1" fillId="0" borderId="0" xfId="1" applyFont="1" applyProtection="1"/>
    <xf numFmtId="0" fontId="21" fillId="0" borderId="0" xfId="1" applyFont="1" applyProtection="1"/>
    <xf numFmtId="0" fontId="2" fillId="0" borderId="0" xfId="1" applyFont="1" applyProtection="1"/>
    <xf numFmtId="0" fontId="22" fillId="0" borderId="0" xfId="1" applyFont="1" applyProtection="1"/>
    <xf numFmtId="0" fontId="1" fillId="0" borderId="0" xfId="1" applyAlignment="1" applyProtection="1">
      <alignment horizontal="center"/>
    </xf>
    <xf numFmtId="15" fontId="10" fillId="0" borderId="0" xfId="1" applyNumberFormat="1" applyFont="1" applyBorder="1" applyAlignment="1" applyProtection="1">
      <alignment horizontal="right"/>
    </xf>
    <xf numFmtId="0" fontId="0" fillId="0" borderId="0" xfId="0" applyProtection="1"/>
    <xf numFmtId="0" fontId="8" fillId="0" borderId="0" xfId="1" applyFont="1" applyBorder="1" applyProtection="1"/>
    <xf numFmtId="0" fontId="10" fillId="0" borderId="0" xfId="1" applyFont="1" applyProtection="1"/>
    <xf numFmtId="0" fontId="4" fillId="0" borderId="0" xfId="1" applyFont="1" applyProtection="1"/>
    <xf numFmtId="0" fontId="27" fillId="0" borderId="0" xfId="1" applyFont="1" applyProtection="1"/>
    <xf numFmtId="0" fontId="3" fillId="0" borderId="0" xfId="1" applyFont="1" applyBorder="1" applyAlignment="1" applyProtection="1">
      <alignment horizontal="right"/>
    </xf>
    <xf numFmtId="0" fontId="10" fillId="0" borderId="0" xfId="1" applyFont="1" applyBorder="1" applyProtection="1"/>
    <xf numFmtId="0" fontId="3" fillId="0" borderId="0" xfId="1" applyFont="1" applyAlignment="1" applyProtection="1">
      <alignment horizontal="right"/>
    </xf>
    <xf numFmtId="15" fontId="4" fillId="0" borderId="0" xfId="1" applyNumberFormat="1" applyFont="1" applyBorder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3" fillId="0" borderId="0" xfId="1" applyFont="1" applyProtection="1"/>
    <xf numFmtId="3" fontId="3" fillId="0" borderId="0" xfId="1" applyNumberFormat="1" applyFont="1" applyBorder="1" applyAlignment="1" applyProtection="1">
      <alignment horizontal="center"/>
    </xf>
    <xf numFmtId="0" fontId="6" fillId="2" borderId="70" xfId="0" applyFont="1" applyFill="1" applyBorder="1" applyAlignment="1" applyProtection="1">
      <alignment horizontal="center"/>
    </xf>
    <xf numFmtId="0" fontId="6" fillId="0" borderId="70" xfId="0" applyFont="1" applyBorder="1" applyProtection="1"/>
    <xf numFmtId="0" fontId="6" fillId="0" borderId="70" xfId="0" applyFont="1" applyBorder="1" applyAlignment="1" applyProtection="1">
      <alignment horizontal="center"/>
    </xf>
    <xf numFmtId="0" fontId="6" fillId="0" borderId="71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6" fillId="0" borderId="0" xfId="1" applyFont="1" applyProtection="1"/>
    <xf numFmtId="0" fontId="35" fillId="0" borderId="0" xfId="1" applyFont="1" applyProtection="1"/>
    <xf numFmtId="0" fontId="6" fillId="0" borderId="89" xfId="0" applyFont="1" applyBorder="1" applyAlignment="1" applyProtection="1">
      <alignment horizontal="center"/>
    </xf>
    <xf numFmtId="0" fontId="6" fillId="0" borderId="67" xfId="0" applyFont="1" applyBorder="1" applyAlignment="1" applyProtection="1">
      <alignment horizontal="center"/>
    </xf>
    <xf numFmtId="0" fontId="6" fillId="0" borderId="47" xfId="0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center"/>
    </xf>
    <xf numFmtId="0" fontId="6" fillId="0" borderId="68" xfId="0" applyFont="1" applyBorder="1" applyAlignment="1" applyProtection="1">
      <alignment horizontal="center"/>
    </xf>
    <xf numFmtId="0" fontId="0" fillId="0" borderId="91" xfId="0" applyBorder="1" applyProtection="1"/>
    <xf numFmtId="0" fontId="0" fillId="0" borderId="92" xfId="0" applyBorder="1" applyProtection="1"/>
    <xf numFmtId="0" fontId="0" fillId="0" borderId="71" xfId="0" applyBorder="1" applyProtection="1"/>
    <xf numFmtId="0" fontId="0" fillId="0" borderId="93" xfId="0" applyBorder="1" applyProtection="1"/>
    <xf numFmtId="0" fontId="0" fillId="0" borderId="94" xfId="0" applyBorder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20" fillId="0" borderId="0" xfId="0" applyFont="1" applyProtection="1"/>
    <xf numFmtId="0" fontId="9" fillId="0" borderId="0" xfId="0" applyFont="1" applyAlignment="1" applyProtection="1">
      <alignment horizontal="right"/>
    </xf>
    <xf numFmtId="0" fontId="3" fillId="0" borderId="69" xfId="0" applyFont="1" applyBorder="1" applyAlignment="1" applyProtection="1">
      <alignment horizontal="right"/>
    </xf>
    <xf numFmtId="0" fontId="4" fillId="0" borderId="69" xfId="0" applyFont="1" applyBorder="1" applyProtection="1"/>
    <xf numFmtId="0" fontId="0" fillId="0" borderId="69" xfId="0" applyBorder="1" applyProtection="1"/>
    <xf numFmtId="0" fontId="12" fillId="0" borderId="0" xfId="0" applyFont="1" applyAlignment="1" applyProtection="1">
      <alignment horizontal="right"/>
    </xf>
    <xf numFmtId="0" fontId="0" fillId="0" borderId="75" xfId="0" applyBorder="1" applyProtection="1"/>
    <xf numFmtId="0" fontId="3" fillId="0" borderId="0" xfId="0" applyFont="1" applyAlignment="1" applyProtection="1">
      <alignment horizontal="right"/>
    </xf>
    <xf numFmtId="0" fontId="1" fillId="0" borderId="0" xfId="2" applyProtection="1"/>
    <xf numFmtId="0" fontId="2" fillId="0" borderId="0" xfId="2" applyFont="1" applyAlignment="1" applyProtection="1">
      <alignment horizontal="right"/>
    </xf>
    <xf numFmtId="0" fontId="1" fillId="0" borderId="0" xfId="2" applyAlignment="1" applyProtection="1">
      <alignment horizontal="center"/>
    </xf>
    <xf numFmtId="0" fontId="8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right"/>
    </xf>
    <xf numFmtId="0" fontId="4" fillId="0" borderId="0" xfId="2" applyFont="1" applyProtection="1"/>
    <xf numFmtId="0" fontId="4" fillId="0" borderId="0" xfId="2" applyFont="1" applyBorder="1" applyAlignment="1" applyProtection="1">
      <alignment horizontal="center"/>
    </xf>
    <xf numFmtId="3" fontId="3" fillId="0" borderId="1" xfId="2" applyNumberFormat="1" applyFont="1" applyBorder="1" applyAlignment="1" applyProtection="1">
      <alignment horizontal="center"/>
    </xf>
    <xf numFmtId="0" fontId="6" fillId="0" borderId="0" xfId="2" applyFont="1" applyAlignment="1" applyProtection="1">
      <alignment horizontal="right"/>
    </xf>
    <xf numFmtId="0" fontId="4" fillId="0" borderId="1" xfId="2" applyFont="1" applyBorder="1" applyProtection="1"/>
    <xf numFmtId="0" fontId="1" fillId="0" borderId="69" xfId="2" applyBorder="1" applyAlignment="1" applyProtection="1">
      <alignment horizontal="center"/>
    </xf>
    <xf numFmtId="15" fontId="4" fillId="0" borderId="0" xfId="2" applyNumberFormat="1" applyFont="1" applyBorder="1" applyAlignment="1" applyProtection="1">
      <alignment horizontal="center"/>
    </xf>
    <xf numFmtId="0" fontId="1" fillId="0" borderId="0" xfId="2" applyBorder="1" applyAlignment="1" applyProtection="1">
      <alignment horizontal="center"/>
    </xf>
    <xf numFmtId="0" fontId="3" fillId="0" borderId="0" xfId="2" applyFont="1" applyProtection="1"/>
    <xf numFmtId="3" fontId="3" fillId="0" borderId="0" xfId="2" applyNumberFormat="1" applyFont="1" applyBorder="1" applyAlignment="1" applyProtection="1">
      <alignment horizontal="center"/>
    </xf>
    <xf numFmtId="0" fontId="4" fillId="0" borderId="0" xfId="2" applyFont="1" applyBorder="1" applyProtection="1"/>
    <xf numFmtId="0" fontId="6" fillId="0" borderId="39" xfId="2" applyFont="1" applyBorder="1" applyAlignment="1" applyProtection="1">
      <alignment horizontal="center"/>
    </xf>
    <xf numFmtId="0" fontId="6" fillId="0" borderId="45" xfId="2" applyFont="1" applyBorder="1" applyAlignment="1" applyProtection="1">
      <alignment horizontal="center"/>
    </xf>
    <xf numFmtId="0" fontId="23" fillId="0" borderId="45" xfId="2" applyFont="1" applyBorder="1" applyAlignment="1" applyProtection="1">
      <alignment horizontal="center"/>
    </xf>
    <xf numFmtId="0" fontId="23" fillId="0" borderId="40" xfId="2" applyFont="1" applyBorder="1" applyAlignment="1" applyProtection="1">
      <alignment horizontal="center"/>
    </xf>
    <xf numFmtId="0" fontId="6" fillId="0" borderId="36" xfId="2" applyFont="1" applyBorder="1" applyAlignment="1" applyProtection="1">
      <alignment horizontal="center"/>
    </xf>
    <xf numFmtId="0" fontId="6" fillId="0" borderId="5" xfId="2" applyFont="1" applyBorder="1" applyAlignment="1" applyProtection="1">
      <alignment horizontal="center"/>
    </xf>
    <xf numFmtId="0" fontId="23" fillId="0" borderId="5" xfId="2" applyFont="1" applyBorder="1" applyAlignment="1" applyProtection="1">
      <alignment horizontal="center"/>
    </xf>
    <xf numFmtId="0" fontId="23" fillId="0" borderId="6" xfId="2" applyFont="1" applyBorder="1" applyAlignment="1" applyProtection="1">
      <alignment horizontal="center"/>
    </xf>
    <xf numFmtId="0" fontId="23" fillId="0" borderId="39" xfId="2" applyFont="1" applyFill="1" applyBorder="1" applyAlignment="1" applyProtection="1">
      <alignment horizontal="center"/>
    </xf>
    <xf numFmtId="0" fontId="23" fillId="0" borderId="40" xfId="2" applyFont="1" applyFill="1" applyBorder="1" applyAlignment="1" applyProtection="1">
      <alignment horizontal="center"/>
    </xf>
    <xf numFmtId="0" fontId="6" fillId="0" borderId="62" xfId="2" applyFont="1" applyFill="1" applyBorder="1" applyAlignment="1" applyProtection="1">
      <alignment horizontal="center"/>
    </xf>
    <xf numFmtId="0" fontId="6" fillId="0" borderId="45" xfId="2" applyFont="1" applyFill="1" applyBorder="1" applyAlignment="1" applyProtection="1">
      <alignment horizontal="center"/>
    </xf>
    <xf numFmtId="0" fontId="23" fillId="0" borderId="41" xfId="2" applyFont="1" applyFill="1" applyBorder="1" applyAlignment="1" applyProtection="1">
      <alignment horizontal="center"/>
    </xf>
    <xf numFmtId="0" fontId="23" fillId="0" borderId="42" xfId="2" applyFont="1" applyFill="1" applyBorder="1" applyAlignment="1" applyProtection="1">
      <alignment horizontal="center"/>
    </xf>
    <xf numFmtId="0" fontId="23" fillId="0" borderId="37" xfId="2" applyFont="1" applyBorder="1" applyAlignment="1" applyProtection="1">
      <alignment horizontal="center"/>
    </xf>
    <xf numFmtId="0" fontId="6" fillId="0" borderId="7" xfId="2" applyFont="1" applyFill="1" applyBorder="1" applyAlignment="1" applyProtection="1">
      <alignment horizontal="center"/>
    </xf>
    <xf numFmtId="0" fontId="1" fillId="0" borderId="2" xfId="2" applyBorder="1" applyAlignment="1" applyProtection="1">
      <alignment horizontal="center"/>
    </xf>
    <xf numFmtId="0" fontId="1" fillId="0" borderId="70" xfId="2" applyBorder="1" applyAlignment="1" applyProtection="1">
      <alignment horizontal="center"/>
    </xf>
    <xf numFmtId="0" fontId="6" fillId="0" borderId="2" xfId="2" applyFont="1" applyBorder="1" applyAlignment="1" applyProtection="1">
      <alignment horizontal="center"/>
    </xf>
    <xf numFmtId="0" fontId="1" fillId="0" borderId="71" xfId="2" applyBorder="1" applyProtection="1"/>
    <xf numFmtId="0" fontId="1" fillId="0" borderId="39" xfId="2" applyBorder="1" applyAlignment="1" applyProtection="1">
      <alignment horizontal="center"/>
    </xf>
    <xf numFmtId="0" fontId="1" fillId="0" borderId="43" xfId="2" applyBorder="1" applyAlignment="1" applyProtection="1">
      <alignment horizontal="center"/>
    </xf>
    <xf numFmtId="0" fontId="1" fillId="0" borderId="44" xfId="2" applyBorder="1" applyAlignment="1" applyProtection="1">
      <alignment horizontal="center"/>
    </xf>
    <xf numFmtId="0" fontId="1" fillId="0" borderId="45" xfId="2" applyBorder="1" applyAlignment="1" applyProtection="1">
      <alignment horizontal="center"/>
    </xf>
    <xf numFmtId="0" fontId="1" fillId="0" borderId="40" xfId="2" applyBorder="1" applyAlignment="1" applyProtection="1">
      <alignment horizontal="center"/>
    </xf>
    <xf numFmtId="0" fontId="1" fillId="0" borderId="46" xfId="2" applyBorder="1" applyAlignment="1" applyProtection="1">
      <alignment horizontal="center"/>
    </xf>
    <xf numFmtId="0" fontId="1" fillId="0" borderId="47" xfId="2" applyBorder="1" applyAlignment="1" applyProtection="1">
      <alignment horizontal="center"/>
    </xf>
    <xf numFmtId="0" fontId="1" fillId="0" borderId="36" xfId="2" applyBorder="1" applyAlignment="1" applyProtection="1">
      <alignment horizontal="center"/>
    </xf>
    <xf numFmtId="0" fontId="1" fillId="0" borderId="37" xfId="2" applyBorder="1" applyAlignment="1" applyProtection="1">
      <alignment horizontal="center"/>
    </xf>
    <xf numFmtId="0" fontId="1" fillId="0" borderId="4" xfId="2" applyBorder="1" applyAlignment="1" applyProtection="1">
      <alignment horizontal="center"/>
    </xf>
    <xf numFmtId="0" fontId="1" fillId="0" borderId="6" xfId="2" applyBorder="1" applyAlignment="1" applyProtection="1">
      <alignment horizontal="center"/>
    </xf>
    <xf numFmtId="0" fontId="1" fillId="0" borderId="48" xfId="2" applyBorder="1" applyAlignment="1" applyProtection="1">
      <alignment horizontal="center"/>
    </xf>
    <xf numFmtId="0" fontId="1" fillId="0" borderId="5" xfId="2" applyBorder="1" applyAlignment="1" applyProtection="1">
      <alignment horizontal="center"/>
    </xf>
    <xf numFmtId="0" fontId="1" fillId="0" borderId="3" xfId="2" applyBorder="1" applyAlignment="1" applyProtection="1">
      <alignment horizontal="center"/>
    </xf>
    <xf numFmtId="0" fontId="1" fillId="0" borderId="56" xfId="2" applyFont="1" applyBorder="1" applyAlignment="1" applyProtection="1">
      <alignment horizontal="center"/>
    </xf>
    <xf numFmtId="0" fontId="1" fillId="0" borderId="38" xfId="2" applyBorder="1" applyAlignment="1" applyProtection="1">
      <alignment horizontal="center"/>
    </xf>
    <xf numFmtId="0" fontId="1" fillId="0" borderId="80" xfId="2" applyBorder="1" applyAlignment="1" applyProtection="1">
      <alignment horizontal="center"/>
    </xf>
    <xf numFmtId="0" fontId="1" fillId="0" borderId="50" xfId="2" applyBorder="1" applyAlignment="1" applyProtection="1">
      <alignment shrinkToFit="1"/>
    </xf>
    <xf numFmtId="0" fontId="1" fillId="0" borderId="53" xfId="2" applyBorder="1" applyAlignment="1" applyProtection="1">
      <alignment horizontal="center"/>
    </xf>
    <xf numFmtId="0" fontId="1" fillId="0" borderId="11" xfId="2" applyBorder="1" applyProtection="1"/>
    <xf numFmtId="0" fontId="1" fillId="0" borderId="12" xfId="2" applyBorder="1" applyProtection="1"/>
    <xf numFmtId="0" fontId="1" fillId="0" borderId="13" xfId="2" applyBorder="1" applyProtection="1"/>
    <xf numFmtId="0" fontId="1" fillId="0" borderId="51" xfId="2" applyBorder="1" applyProtection="1"/>
    <xf numFmtId="0" fontId="1" fillId="0" borderId="52" xfId="2" applyBorder="1" applyProtection="1"/>
    <xf numFmtId="0" fontId="1" fillId="0" borderId="53" xfId="2" applyBorder="1" applyProtection="1"/>
    <xf numFmtId="0" fontId="1" fillId="0" borderId="29" xfId="2" applyBorder="1" applyProtection="1"/>
    <xf numFmtId="0" fontId="1" fillId="0" borderId="30" xfId="2" applyBorder="1" applyProtection="1"/>
    <xf numFmtId="0" fontId="1" fillId="0" borderId="50" xfId="2" applyBorder="1" applyProtection="1"/>
    <xf numFmtId="0" fontId="1" fillId="0" borderId="54" xfId="2" applyBorder="1" applyProtection="1"/>
    <xf numFmtId="0" fontId="1" fillId="0" borderId="27" xfId="2" applyBorder="1" applyAlignment="1" applyProtection="1">
      <alignment horizontal="center"/>
    </xf>
    <xf numFmtId="0" fontId="1" fillId="0" borderId="14" xfId="2" applyBorder="1" applyAlignment="1" applyProtection="1">
      <alignment horizontal="center"/>
    </xf>
    <xf numFmtId="0" fontId="1" fillId="0" borderId="52" xfId="2" applyBorder="1" applyAlignment="1" applyProtection="1">
      <alignment horizontal="center"/>
    </xf>
    <xf numFmtId="0" fontId="1" fillId="0" borderId="18" xfId="2" applyBorder="1" applyAlignment="1" applyProtection="1">
      <alignment horizontal="center"/>
    </xf>
    <xf numFmtId="0" fontId="1" fillId="0" borderId="17" xfId="2" applyBorder="1" applyProtection="1"/>
    <xf numFmtId="0" fontId="1" fillId="0" borderId="18" xfId="2" applyBorder="1" applyProtection="1"/>
    <xf numFmtId="0" fontId="1" fillId="0" borderId="16" xfId="2" applyBorder="1" applyProtection="1"/>
    <xf numFmtId="0" fontId="1" fillId="0" borderId="32" xfId="2" applyBorder="1" applyProtection="1"/>
    <xf numFmtId="0" fontId="1" fillId="0" borderId="33" xfId="2" applyBorder="1" applyProtection="1"/>
    <xf numFmtId="0" fontId="1" fillId="0" borderId="55" xfId="2" applyBorder="1" applyProtection="1"/>
    <xf numFmtId="0" fontId="1" fillId="0" borderId="28" xfId="2" applyBorder="1" applyAlignment="1" applyProtection="1">
      <alignment horizontal="center"/>
    </xf>
    <xf numFmtId="0" fontId="1" fillId="0" borderId="56" xfId="2" applyBorder="1" applyAlignment="1" applyProtection="1">
      <alignment horizontal="center"/>
    </xf>
    <xf numFmtId="0" fontId="1" fillId="0" borderId="104" xfId="2" applyBorder="1" applyAlignment="1" applyProtection="1">
      <alignment horizontal="center"/>
    </xf>
    <xf numFmtId="0" fontId="1" fillId="0" borderId="35" xfId="2" applyBorder="1" applyAlignment="1" applyProtection="1">
      <alignment shrinkToFit="1"/>
    </xf>
    <xf numFmtId="0" fontId="1" fillId="0" borderId="24" xfId="2" applyBorder="1" applyAlignment="1" applyProtection="1">
      <alignment horizontal="center"/>
    </xf>
    <xf numFmtId="0" fontId="1" fillId="0" borderId="22" xfId="2" applyBorder="1" applyProtection="1"/>
    <xf numFmtId="0" fontId="1" fillId="0" borderId="23" xfId="2" applyBorder="1" applyProtection="1"/>
    <xf numFmtId="0" fontId="1" fillId="0" borderId="24" xfId="2" applyBorder="1" applyProtection="1"/>
    <xf numFmtId="0" fontId="1" fillId="0" borderId="34" xfId="2" applyBorder="1" applyProtection="1"/>
    <xf numFmtId="0" fontId="1" fillId="0" borderId="35" xfId="2" applyBorder="1" applyProtection="1"/>
    <xf numFmtId="0" fontId="1" fillId="0" borderId="57" xfId="2" applyBorder="1" applyProtection="1"/>
    <xf numFmtId="0" fontId="1" fillId="0" borderId="58" xfId="2" applyBorder="1" applyProtection="1"/>
    <xf numFmtId="0" fontId="1" fillId="0" borderId="0" xfId="2" applyAlignment="1" applyProtection="1">
      <alignment horizontal="right"/>
    </xf>
    <xf numFmtId="0" fontId="1" fillId="0" borderId="7" xfId="2" applyBorder="1" applyProtection="1"/>
    <xf numFmtId="0" fontId="1" fillId="0" borderId="0" xfId="2" applyBorder="1" applyProtection="1"/>
    <xf numFmtId="0" fontId="1" fillId="0" borderId="1" xfId="2" applyBorder="1" applyProtection="1"/>
    <xf numFmtId="0" fontId="25" fillId="0" borderId="0" xfId="2" applyFont="1" applyProtection="1"/>
    <xf numFmtId="0" fontId="5" fillId="0" borderId="1" xfId="2" applyFont="1" applyBorder="1" applyProtection="1"/>
    <xf numFmtId="0" fontId="5" fillId="0" borderId="0" xfId="2" applyFont="1" applyBorder="1" applyProtection="1"/>
    <xf numFmtId="0" fontId="23" fillId="0" borderId="37" xfId="2" applyFont="1" applyFill="1" applyBorder="1" applyAlignment="1" applyProtection="1">
      <alignment horizontal="center"/>
    </xf>
    <xf numFmtId="0" fontId="6" fillId="0" borderId="36" xfId="2" applyFont="1" applyFill="1" applyBorder="1" applyAlignment="1" applyProtection="1">
      <alignment horizontal="center"/>
    </xf>
    <xf numFmtId="0" fontId="6" fillId="0" borderId="37" xfId="2" applyFont="1" applyFill="1" applyBorder="1" applyAlignment="1" applyProtection="1">
      <alignment horizontal="center"/>
    </xf>
    <xf numFmtId="0" fontId="23" fillId="0" borderId="5" xfId="2" applyFont="1" applyFill="1" applyBorder="1" applyAlignment="1" applyProtection="1">
      <alignment horizontal="center"/>
    </xf>
    <xf numFmtId="0" fontId="23" fillId="0" borderId="36" xfId="2" applyFont="1" applyBorder="1" applyAlignment="1" applyProtection="1">
      <alignment horizontal="center"/>
    </xf>
    <xf numFmtId="0" fontId="1" fillId="0" borderId="26" xfId="2" applyBorder="1" applyProtection="1"/>
    <xf numFmtId="0" fontId="6" fillId="0" borderId="80" xfId="2" applyFont="1" applyBorder="1" applyAlignment="1" applyProtection="1">
      <alignment horizontal="center"/>
    </xf>
    <xf numFmtId="0" fontId="6" fillId="0" borderId="50" xfId="2" applyFont="1" applyBorder="1" applyAlignment="1" applyProtection="1">
      <alignment shrinkToFit="1"/>
    </xf>
    <xf numFmtId="0" fontId="6" fillId="0" borderId="78" xfId="2" applyFont="1" applyBorder="1" applyAlignment="1" applyProtection="1">
      <alignment horizontal="center"/>
    </xf>
    <xf numFmtId="0" fontId="1" fillId="0" borderId="31" xfId="2" applyBorder="1" applyProtection="1"/>
    <xf numFmtId="0" fontId="6" fillId="0" borderId="52" xfId="2" applyFont="1" applyBorder="1" applyAlignment="1" applyProtection="1">
      <alignment horizontal="center"/>
    </xf>
    <xf numFmtId="0" fontId="6" fillId="0" borderId="18" xfId="2" applyFont="1" applyBorder="1" applyAlignment="1" applyProtection="1">
      <alignment horizontal="center"/>
    </xf>
    <xf numFmtId="0" fontId="1" fillId="0" borderId="19" xfId="2" applyBorder="1" applyProtection="1"/>
    <xf numFmtId="0" fontId="6" fillId="0" borderId="104" xfId="2" applyFont="1" applyBorder="1" applyAlignment="1" applyProtection="1">
      <alignment horizontal="center"/>
    </xf>
    <xf numFmtId="0" fontId="6" fillId="0" borderId="35" xfId="2" applyFont="1" applyBorder="1" applyAlignment="1" applyProtection="1">
      <alignment shrinkToFit="1"/>
    </xf>
    <xf numFmtId="0" fontId="6" fillId="0" borderId="24" xfId="2" applyFont="1" applyBorder="1" applyAlignment="1" applyProtection="1">
      <alignment horizontal="center"/>
    </xf>
    <xf numFmtId="0" fontId="1" fillId="0" borderId="60" xfId="2" applyBorder="1" applyProtection="1"/>
    <xf numFmtId="0" fontId="2" fillId="0" borderId="0" xfId="0" applyFont="1" applyAlignment="1" applyProtection="1">
      <alignment horizontal="right"/>
    </xf>
    <xf numFmtId="0" fontId="36" fillId="0" borderId="0" xfId="2" applyFont="1" applyAlignment="1" applyProtection="1">
      <alignment horizontal="right"/>
    </xf>
    <xf numFmtId="0" fontId="8" fillId="0" borderId="0" xfId="2" applyFont="1" applyProtection="1"/>
    <xf numFmtId="0" fontId="4" fillId="0" borderId="0" xfId="2" applyFont="1" applyBorder="1" applyAlignment="1" applyProtection="1">
      <alignment horizontal="right"/>
    </xf>
    <xf numFmtId="0" fontId="1" fillId="0" borderId="75" xfId="2" applyBorder="1" applyProtection="1"/>
    <xf numFmtId="0" fontId="1" fillId="0" borderId="8" xfId="2" applyBorder="1" applyAlignment="1" applyProtection="1">
      <alignment horizontal="center"/>
    </xf>
    <xf numFmtId="0" fontId="1" fillId="0" borderId="86" xfId="2" applyBorder="1" applyAlignment="1" applyProtection="1">
      <alignment horizontal="center"/>
    </xf>
    <xf numFmtId="0" fontId="1" fillId="0" borderId="9" xfId="2" applyBorder="1" applyProtection="1"/>
    <xf numFmtId="0" fontId="1" fillId="0" borderId="76" xfId="2" applyBorder="1" applyProtection="1"/>
    <xf numFmtId="0" fontId="1" fillId="0" borderId="15" xfId="2" applyBorder="1" applyAlignment="1" applyProtection="1">
      <alignment horizontal="center"/>
    </xf>
    <xf numFmtId="0" fontId="1" fillId="0" borderId="15" xfId="2" applyBorder="1" applyProtection="1"/>
    <xf numFmtId="0" fontId="1" fillId="0" borderId="82" xfId="2" applyBorder="1" applyProtection="1"/>
    <xf numFmtId="0" fontId="1" fillId="0" borderId="20" xfId="2" applyBorder="1" applyAlignment="1" applyProtection="1">
      <alignment horizontal="center"/>
    </xf>
    <xf numFmtId="0" fontId="1" fillId="0" borderId="20" xfId="2" applyBorder="1" applyProtection="1"/>
    <xf numFmtId="0" fontId="20" fillId="0" borderId="0" xfId="2" applyFont="1" applyProtection="1"/>
    <xf numFmtId="0" fontId="34" fillId="0" borderId="0" xfId="0" applyFont="1" applyProtection="1"/>
    <xf numFmtId="0" fontId="21" fillId="0" borderId="0" xfId="0" applyFont="1" applyProtection="1"/>
    <xf numFmtId="0" fontId="2" fillId="0" borderId="0" xfId="0" applyFont="1" applyProtection="1"/>
    <xf numFmtId="0" fontId="22" fillId="0" borderId="0" xfId="0" applyFont="1" applyProtection="1"/>
    <xf numFmtId="0" fontId="1" fillId="0" borderId="0" xfId="0" applyFont="1" applyProtection="1"/>
    <xf numFmtId="0" fontId="25" fillId="0" borderId="0" xfId="0" applyFont="1" applyProtection="1"/>
    <xf numFmtId="0" fontId="1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15" fontId="1" fillId="0" borderId="0" xfId="0" applyNumberFormat="1" applyFont="1" applyAlignment="1" applyProtection="1">
      <alignment horizontal="center"/>
    </xf>
    <xf numFmtId="15" fontId="1" fillId="0" borderId="0" xfId="0" applyNumberFormat="1" applyFont="1" applyAlignment="1" applyProtection="1">
      <alignment horizontal="right"/>
    </xf>
    <xf numFmtId="0" fontId="8" fillId="0" borderId="0" xfId="0" applyFont="1" applyProtection="1"/>
    <xf numFmtId="0" fontId="1" fillId="0" borderId="0" xfId="2" applyFont="1" applyProtection="1"/>
    <xf numFmtId="0" fontId="23" fillId="0" borderId="0" xfId="0" applyFont="1" applyProtection="1"/>
    <xf numFmtId="0" fontId="6" fillId="0" borderId="0" xfId="0" applyFont="1" applyProtection="1"/>
    <xf numFmtId="3" fontId="6" fillId="0" borderId="0" xfId="0" applyNumberFormat="1" applyFont="1" applyAlignment="1" applyProtection="1">
      <alignment horizontal="center"/>
    </xf>
    <xf numFmtId="0" fontId="1" fillId="0" borderId="70" xfId="0" applyFont="1" applyBorder="1" applyAlignment="1" applyProtection="1">
      <alignment horizontal="center"/>
    </xf>
    <xf numFmtId="0" fontId="1" fillId="0" borderId="72" xfId="0" applyFont="1" applyBorder="1" applyAlignment="1" applyProtection="1">
      <alignment horizontal="center"/>
    </xf>
    <xf numFmtId="0" fontId="1" fillId="0" borderId="73" xfId="0" applyFont="1" applyBorder="1" applyAlignment="1" applyProtection="1">
      <alignment horizontal="center"/>
    </xf>
    <xf numFmtId="0" fontId="1" fillId="0" borderId="74" xfId="0" applyFont="1" applyBorder="1" applyAlignment="1" applyProtection="1">
      <alignment horizontal="center"/>
    </xf>
    <xf numFmtId="0" fontId="1" fillId="0" borderId="75" xfId="0" applyFont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3" fillId="0" borderId="77" xfId="0" applyFont="1" applyBorder="1" applyAlignment="1" applyProtection="1">
      <alignment shrinkToFit="1"/>
    </xf>
    <xf numFmtId="0" fontId="3" fillId="0" borderId="78" xfId="0" applyFont="1" applyBorder="1" applyAlignment="1" applyProtection="1">
      <alignment horizontal="center"/>
    </xf>
    <xf numFmtId="0" fontId="1" fillId="0" borderId="79" xfId="0" applyFont="1" applyBorder="1" applyProtection="1"/>
    <xf numFmtId="0" fontId="1" fillId="0" borderId="80" xfId="0" applyFont="1" applyBorder="1" applyProtection="1"/>
    <xf numFmtId="0" fontId="1" fillId="0" borderId="81" xfId="0" applyFont="1" applyBorder="1" applyProtection="1"/>
    <xf numFmtId="0" fontId="1" fillId="0" borderId="64" xfId="0" applyFont="1" applyBorder="1" applyProtection="1"/>
    <xf numFmtId="0" fontId="35" fillId="0" borderId="0" xfId="0" applyFont="1" applyProtection="1"/>
    <xf numFmtId="0" fontId="6" fillId="2" borderId="14" xfId="0" applyFont="1" applyFill="1" applyBorder="1" applyAlignment="1" applyProtection="1">
      <alignment horizontal="center"/>
    </xf>
    <xf numFmtId="0" fontId="3" fillId="0" borderId="8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shrinkToFit="1"/>
    </xf>
    <xf numFmtId="0" fontId="3" fillId="0" borderId="83" xfId="0" applyFont="1" applyBorder="1" applyAlignment="1" applyProtection="1">
      <alignment horizontal="center"/>
    </xf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33" xfId="0" applyFont="1" applyBorder="1" applyProtection="1"/>
    <xf numFmtId="0" fontId="1" fillId="0" borderId="55" xfId="0" applyFont="1" applyBorder="1" applyProtection="1"/>
    <xf numFmtId="0" fontId="6" fillId="2" borderId="20" xfId="0" applyFont="1" applyFill="1" applyBorder="1" applyAlignment="1" applyProtection="1">
      <alignment horizontal="center"/>
    </xf>
    <xf numFmtId="0" fontId="3" fillId="0" borderId="57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shrinkToFit="1"/>
    </xf>
    <xf numFmtId="0" fontId="3" fillId="0" borderId="25" xfId="0" applyFont="1" applyBorder="1" applyAlignment="1" applyProtection="1">
      <alignment horizontal="center"/>
    </xf>
    <xf numFmtId="0" fontId="1" fillId="0" borderId="22" xfId="0" applyFont="1" applyBorder="1" applyProtection="1"/>
    <xf numFmtId="0" fontId="1" fillId="0" borderId="23" xfId="0" applyFont="1" applyBorder="1" applyProtection="1"/>
    <xf numFmtId="0" fontId="1" fillId="0" borderId="35" xfId="0" applyFont="1" applyBorder="1" applyProtection="1"/>
    <xf numFmtId="0" fontId="1" fillId="0" borderId="57" xfId="0" applyFont="1" applyBorder="1" applyProtection="1"/>
    <xf numFmtId="0" fontId="6" fillId="0" borderId="69" xfId="0" applyFont="1" applyBorder="1" applyAlignment="1" applyProtection="1">
      <alignment horizontal="right"/>
    </xf>
    <xf numFmtId="0" fontId="1" fillId="0" borderId="69" xfId="0" applyFont="1" applyBorder="1" applyProtection="1"/>
    <xf numFmtId="0" fontId="1" fillId="0" borderId="0" xfId="0" applyFont="1" applyAlignment="1" applyProtection="1">
      <alignment horizontal="right"/>
    </xf>
    <xf numFmtId="0" fontId="1" fillId="0" borderId="75" xfId="0" applyFont="1" applyBorder="1" applyProtection="1"/>
    <xf numFmtId="0" fontId="15" fillId="0" borderId="0" xfId="0" applyFont="1" applyProtection="1"/>
    <xf numFmtId="165" fontId="4" fillId="0" borderId="0" xfId="2" applyNumberFormat="1" applyFont="1" applyBorder="1" applyAlignment="1" applyProtection="1">
      <alignment horizontal="right"/>
    </xf>
    <xf numFmtId="0" fontId="28" fillId="0" borderId="1" xfId="0" applyFont="1" applyBorder="1" applyProtection="1"/>
    <xf numFmtId="0" fontId="9" fillId="0" borderId="0" xfId="0" applyFont="1" applyProtection="1"/>
    <xf numFmtId="0" fontId="10" fillId="0" borderId="1" xfId="0" applyFont="1" applyBorder="1" applyProtection="1"/>
    <xf numFmtId="0" fontId="11" fillId="0" borderId="0" xfId="0" applyFont="1" applyBorder="1" applyProtection="1"/>
    <xf numFmtId="0" fontId="10" fillId="0" borderId="0" xfId="0" applyFont="1" applyProtection="1"/>
    <xf numFmtId="0" fontId="30" fillId="0" borderId="0" xfId="0" applyFont="1" applyProtection="1"/>
    <xf numFmtId="0" fontId="3" fillId="0" borderId="0" xfId="0" applyFont="1" applyAlignment="1" applyProtection="1">
      <alignment horizontal="center"/>
    </xf>
    <xf numFmtId="15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3" fillId="0" borderId="0" xfId="0" applyFont="1" applyProtection="1"/>
    <xf numFmtId="3" fontId="3" fillId="0" borderId="0" xfId="0" applyNumberFormat="1" applyFont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0" borderId="75" xfId="0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75" xfId="0" applyFont="1" applyBorder="1" applyAlignment="1" applyProtection="1">
      <alignment horizontal="center"/>
    </xf>
    <xf numFmtId="0" fontId="28" fillId="0" borderId="4" xfId="0" applyFont="1" applyBorder="1" applyAlignment="1" applyProtection="1">
      <alignment horizontal="center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28" fillId="0" borderId="56" xfId="0" applyFont="1" applyBorder="1" applyAlignment="1" applyProtection="1">
      <alignment horizontal="center"/>
    </xf>
    <xf numFmtId="0" fontId="28" fillId="0" borderId="0" xfId="0" applyFont="1" applyProtection="1"/>
    <xf numFmtId="0" fontId="28" fillId="0" borderId="36" xfId="0" applyFont="1" applyBorder="1" applyAlignment="1" applyProtection="1">
      <alignment horizontal="center"/>
    </xf>
    <xf numFmtId="0" fontId="28" fillId="0" borderId="37" xfId="0" applyFont="1" applyBorder="1" applyAlignment="1" applyProtection="1">
      <alignment horizontal="center"/>
    </xf>
    <xf numFmtId="0" fontId="6" fillId="2" borderId="64" xfId="0" applyFont="1" applyFill="1" applyBorder="1" applyAlignment="1" applyProtection="1">
      <alignment horizontal="center"/>
    </xf>
    <xf numFmtId="0" fontId="6" fillId="0" borderId="90" xfId="0" applyFont="1" applyFill="1" applyBorder="1" applyAlignment="1" applyProtection="1">
      <alignment horizontal="center"/>
    </xf>
    <xf numFmtId="0" fontId="3" fillId="0" borderId="48" xfId="0" applyFont="1" applyBorder="1" applyAlignment="1" applyProtection="1">
      <alignment shrinkToFit="1"/>
    </xf>
    <xf numFmtId="0" fontId="0" fillId="0" borderId="11" xfId="0" applyBorder="1" applyProtection="1"/>
    <xf numFmtId="0" fontId="0" fillId="0" borderId="12" xfId="0" applyBorder="1" applyProtection="1"/>
    <xf numFmtId="0" fontId="0" fillId="0" borderId="30" xfId="0" applyBorder="1" applyProtection="1"/>
    <xf numFmtId="0" fontId="0" fillId="0" borderId="54" xfId="0" applyBorder="1" applyProtection="1"/>
    <xf numFmtId="0" fontId="0" fillId="0" borderId="27" xfId="0" applyBorder="1" applyProtection="1"/>
    <xf numFmtId="0" fontId="0" fillId="0" borderId="13" xfId="0" applyBorder="1" applyProtection="1"/>
    <xf numFmtId="0" fontId="0" fillId="0" borderId="59" xfId="0" applyBorder="1" applyProtection="1"/>
    <xf numFmtId="0" fontId="0" fillId="0" borderId="8" xfId="0" applyBorder="1" applyProtection="1"/>
    <xf numFmtId="0" fontId="6" fillId="2" borderId="55" xfId="0" applyFont="1" applyFill="1" applyBorder="1" applyAlignment="1" applyProtection="1">
      <alignment horizontal="center"/>
    </xf>
    <xf numFmtId="0" fontId="6" fillId="0" borderId="55" xfId="0" applyFont="1" applyFill="1" applyBorder="1" applyAlignment="1" applyProtection="1">
      <alignment horizontal="center"/>
    </xf>
    <xf numFmtId="0" fontId="3" fillId="0" borderId="55" xfId="0" applyFont="1" applyBorder="1" applyAlignment="1" applyProtection="1">
      <alignment shrinkToFit="1"/>
    </xf>
    <xf numFmtId="0" fontId="3" fillId="0" borderId="14" xfId="0" applyFont="1" applyBorder="1" applyAlignment="1" applyProtection="1">
      <alignment horizontal="center" shrinkToFit="1"/>
    </xf>
    <xf numFmtId="0" fontId="0" fillId="0" borderId="16" xfId="0" applyBorder="1" applyProtection="1"/>
    <xf numFmtId="0" fontId="0" fillId="0" borderId="17" xfId="0" applyBorder="1" applyProtection="1"/>
    <xf numFmtId="0" fontId="0" fillId="0" borderId="33" xfId="0" applyBorder="1" applyProtection="1"/>
    <xf numFmtId="0" fontId="0" fillId="0" borderId="55" xfId="0" applyBorder="1" applyProtection="1"/>
    <xf numFmtId="0" fontId="0" fillId="0" borderId="28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14" xfId="0" applyBorder="1" applyProtection="1"/>
    <xf numFmtId="0" fontId="6" fillId="2" borderId="57" xfId="0" applyFont="1" applyFill="1" applyBorder="1" applyAlignment="1" applyProtection="1">
      <alignment horizontal="center"/>
    </xf>
    <xf numFmtId="0" fontId="6" fillId="0" borderId="57" xfId="0" applyFont="1" applyFill="1" applyBorder="1" applyAlignment="1" applyProtection="1">
      <alignment horizontal="center"/>
    </xf>
    <xf numFmtId="0" fontId="3" fillId="0" borderId="57" xfId="0" applyFont="1" applyBorder="1" applyAlignment="1" applyProtection="1">
      <alignment shrinkToFit="1"/>
    </xf>
    <xf numFmtId="0" fontId="3" fillId="0" borderId="20" xfId="0" applyFont="1" applyBorder="1" applyAlignment="1" applyProtection="1">
      <alignment horizontal="center" shrinkToFit="1"/>
    </xf>
    <xf numFmtId="0" fontId="0" fillId="0" borderId="22" xfId="0" applyBorder="1" applyProtection="1"/>
    <xf numFmtId="0" fontId="0" fillId="0" borderId="23" xfId="0" applyBorder="1" applyProtection="1"/>
    <xf numFmtId="0" fontId="0" fillId="0" borderId="35" xfId="0" applyBorder="1" applyProtection="1"/>
    <xf numFmtId="0" fontId="0" fillId="0" borderId="57" xfId="0" applyBorder="1" applyProtection="1"/>
    <xf numFmtId="0" fontId="0" fillId="0" borderId="21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shrinkToFit="1"/>
    </xf>
    <xf numFmtId="0" fontId="3" fillId="0" borderId="0" xfId="0" applyFont="1" applyBorder="1" applyAlignment="1" applyProtection="1">
      <alignment horizontal="center" shrinkToFit="1"/>
    </xf>
    <xf numFmtId="0" fontId="0" fillId="0" borderId="0" xfId="0" applyBorder="1" applyProtection="1"/>
    <xf numFmtId="0" fontId="4" fillId="0" borderId="0" xfId="0" applyFont="1" applyAlignment="1" applyProtection="1">
      <alignment horizontal="center"/>
    </xf>
    <xf numFmtId="0" fontId="12" fillId="0" borderId="0" xfId="0" applyFont="1" applyBorder="1" applyProtection="1"/>
    <xf numFmtId="0" fontId="4" fillId="0" borderId="0" xfId="0" applyFont="1" applyBorder="1" applyProtection="1"/>
    <xf numFmtId="0" fontId="12" fillId="0" borderId="0" xfId="0" applyFont="1" applyAlignment="1" applyProtection="1">
      <alignment horizontal="center"/>
    </xf>
    <xf numFmtId="0" fontId="0" fillId="0" borderId="7" xfId="0" applyBorder="1" applyProtection="1"/>
    <xf numFmtId="0" fontId="4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69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3" fillId="0" borderId="69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right"/>
    </xf>
    <xf numFmtId="0" fontId="0" fillId="0" borderId="26" xfId="0" applyBorder="1" applyProtection="1"/>
    <xf numFmtId="0" fontId="17" fillId="0" borderId="0" xfId="0" applyFont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20" fontId="10" fillId="0" borderId="0" xfId="0" applyNumberFormat="1" applyFont="1" applyBorder="1" applyAlignment="1" applyProtection="1"/>
    <xf numFmtId="0" fontId="10" fillId="0" borderId="0" xfId="0" applyFont="1" applyBorder="1" applyProtection="1"/>
    <xf numFmtId="0" fontId="6" fillId="0" borderId="96" xfId="0" applyFont="1" applyBorder="1" applyAlignment="1" applyProtection="1">
      <alignment horizontal="center"/>
    </xf>
    <xf numFmtId="0" fontId="13" fillId="0" borderId="0" xfId="0" applyFont="1" applyProtection="1"/>
    <xf numFmtId="0" fontId="3" fillId="0" borderId="96" xfId="0" applyFont="1" applyBorder="1" applyAlignment="1" applyProtection="1">
      <alignment horizontal="center" shrinkToFit="1"/>
    </xf>
    <xf numFmtId="0" fontId="1" fillId="0" borderId="0" xfId="2" applyFont="1" applyAlignment="1" applyProtection="1">
      <alignment horizontal="center"/>
    </xf>
    <xf numFmtId="0" fontId="1" fillId="0" borderId="97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14" xfId="0" applyFont="1" applyBorder="1" applyProtection="1"/>
    <xf numFmtId="0" fontId="1" fillId="0" borderId="20" xfId="0" applyFont="1" applyBorder="1" applyProtection="1"/>
    <xf numFmtId="0" fontId="6" fillId="0" borderId="0" xfId="2" applyFont="1" applyBorder="1" applyAlignment="1" applyProtection="1">
      <alignment horizontal="center"/>
    </xf>
    <xf numFmtId="0" fontId="6" fillId="0" borderId="42" xfId="2" applyFont="1" applyBorder="1" applyAlignment="1" applyProtection="1">
      <alignment horizontal="center"/>
    </xf>
    <xf numFmtId="0" fontId="6" fillId="0" borderId="40" xfId="2" applyFont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0" fontId="6" fillId="0" borderId="37" xfId="2" applyFont="1" applyBorder="1" applyAlignment="1" applyProtection="1">
      <alignment horizontal="center"/>
    </xf>
    <xf numFmtId="0" fontId="6" fillId="0" borderId="39" xfId="2" applyFont="1" applyFill="1" applyBorder="1" applyAlignment="1" applyProtection="1">
      <alignment horizontal="center"/>
    </xf>
    <xf numFmtId="0" fontId="6" fillId="0" borderId="40" xfId="2" applyFont="1" applyFill="1" applyBorder="1" applyAlignment="1" applyProtection="1">
      <alignment horizontal="center"/>
    </xf>
    <xf numFmtId="0" fontId="6" fillId="0" borderId="41" xfId="2" applyFont="1" applyFill="1" applyBorder="1" applyAlignment="1" applyProtection="1">
      <alignment horizontal="center"/>
    </xf>
    <xf numFmtId="0" fontId="6" fillId="0" borderId="42" xfId="2" applyFont="1" applyFill="1" applyBorder="1" applyAlignment="1" applyProtection="1">
      <alignment horizontal="center"/>
    </xf>
    <xf numFmtId="0" fontId="6" fillId="0" borderId="0" xfId="2" applyFont="1" applyFill="1" applyBorder="1" applyAlignment="1" applyProtection="1">
      <alignment horizontal="center"/>
    </xf>
    <xf numFmtId="0" fontId="1" fillId="0" borderId="94" xfId="2" applyBorder="1" applyAlignment="1" applyProtection="1">
      <alignment horizontal="center"/>
    </xf>
    <xf numFmtId="0" fontId="1" fillId="0" borderId="62" xfId="2" applyBorder="1" applyAlignment="1" applyProtection="1">
      <alignment horizontal="center"/>
    </xf>
    <xf numFmtId="0" fontId="1" fillId="0" borderId="63" xfId="2" applyBorder="1" applyAlignment="1" applyProtection="1">
      <alignment horizontal="center"/>
    </xf>
    <xf numFmtId="0" fontId="1" fillId="0" borderId="42" xfId="2" applyBorder="1" applyAlignment="1" applyProtection="1">
      <alignment horizontal="center"/>
    </xf>
    <xf numFmtId="0" fontId="1" fillId="0" borderId="9" xfId="2" applyBorder="1" applyAlignment="1" applyProtection="1">
      <alignment horizontal="center"/>
    </xf>
    <xf numFmtId="0" fontId="1" fillId="0" borderId="7" xfId="2" applyBorder="1" applyAlignment="1" applyProtection="1">
      <alignment horizontal="center"/>
    </xf>
    <xf numFmtId="0" fontId="1" fillId="0" borderId="50" xfId="2" applyBorder="1" applyAlignment="1" applyProtection="1">
      <alignment horizontal="center"/>
    </xf>
    <xf numFmtId="0" fontId="1" fillId="2" borderId="11" xfId="2" applyFill="1" applyBorder="1" applyProtection="1"/>
    <xf numFmtId="0" fontId="1" fillId="2" borderId="13" xfId="2" applyFill="1" applyBorder="1" applyProtection="1"/>
    <xf numFmtId="0" fontId="1" fillId="2" borderId="16" xfId="2" applyFill="1" applyBorder="1" applyProtection="1"/>
    <xf numFmtId="0" fontId="1" fillId="2" borderId="18" xfId="2" applyFill="1" applyBorder="1" applyProtection="1"/>
    <xf numFmtId="0" fontId="1" fillId="0" borderId="105" xfId="2" applyBorder="1" applyAlignment="1" applyProtection="1">
      <alignment horizontal="center"/>
    </xf>
    <xf numFmtId="0" fontId="1" fillId="2" borderId="22" xfId="2" applyFill="1" applyBorder="1" applyProtection="1"/>
    <xf numFmtId="0" fontId="1" fillId="2" borderId="24" xfId="2" applyFill="1" applyBorder="1" applyProtection="1"/>
    <xf numFmtId="0" fontId="7" fillId="0" borderId="0" xfId="2" applyFont="1" applyProtection="1"/>
    <xf numFmtId="0" fontId="1" fillId="0" borderId="61" xfId="2" applyBorder="1" applyProtection="1"/>
    <xf numFmtId="0" fontId="2" fillId="0" borderId="0" xfId="2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5" fontId="4" fillId="0" borderId="0" xfId="0" applyNumberFormat="1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0" fontId="5" fillId="0" borderId="0" xfId="0" applyFont="1" applyProtection="1"/>
    <xf numFmtId="0" fontId="0" fillId="0" borderId="95" xfId="0" applyBorder="1" applyProtection="1"/>
    <xf numFmtId="0" fontId="6" fillId="0" borderId="91" xfId="0" applyFont="1" applyBorder="1" applyAlignment="1" applyProtection="1">
      <alignment horizontal="center"/>
    </xf>
    <xf numFmtId="0" fontId="6" fillId="0" borderId="92" xfId="0" applyFont="1" applyBorder="1" applyAlignment="1" applyProtection="1">
      <alignment horizontal="center"/>
    </xf>
    <xf numFmtId="0" fontId="23" fillId="0" borderId="92" xfId="0" applyFont="1" applyBorder="1" applyAlignment="1" applyProtection="1">
      <alignment horizontal="center"/>
    </xf>
    <xf numFmtId="0" fontId="23" fillId="0" borderId="71" xfId="0" applyFont="1" applyBorder="1" applyAlignment="1" applyProtection="1">
      <alignment horizontal="center"/>
    </xf>
    <xf numFmtId="0" fontId="6" fillId="0" borderId="102" xfId="0" applyFont="1" applyBorder="1" applyAlignment="1" applyProtection="1">
      <alignment horizontal="center"/>
    </xf>
    <xf numFmtId="0" fontId="6" fillId="0" borderId="73" xfId="0" applyFont="1" applyBorder="1" applyAlignment="1" applyProtection="1">
      <alignment horizontal="center"/>
    </xf>
    <xf numFmtId="0" fontId="23" fillId="0" borderId="73" xfId="0" applyFont="1" applyBorder="1" applyAlignment="1" applyProtection="1">
      <alignment horizontal="center"/>
    </xf>
    <xf numFmtId="0" fontId="23" fillId="0" borderId="74" xfId="0" applyFont="1" applyBorder="1" applyAlignment="1" applyProtection="1">
      <alignment horizontal="center"/>
    </xf>
    <xf numFmtId="0" fontId="6" fillId="0" borderId="93" xfId="0" applyFont="1" applyBorder="1" applyAlignment="1" applyProtection="1">
      <alignment horizontal="center"/>
    </xf>
    <xf numFmtId="0" fontId="6" fillId="0" borderId="94" xfId="0" applyFont="1" applyBorder="1" applyAlignment="1" applyProtection="1">
      <alignment horizontal="center"/>
    </xf>
    <xf numFmtId="0" fontId="23" fillId="0" borderId="103" xfId="0" applyFont="1" applyBorder="1" applyAlignment="1" applyProtection="1">
      <alignment horizontal="center"/>
    </xf>
    <xf numFmtId="0" fontId="0" fillId="0" borderId="84" xfId="0" applyBorder="1" applyAlignment="1" applyProtection="1">
      <alignment horizontal="center"/>
    </xf>
    <xf numFmtId="0" fontId="6" fillId="0" borderId="84" xfId="0" applyFont="1" applyBorder="1" applyAlignment="1" applyProtection="1">
      <alignment horizontal="center"/>
    </xf>
    <xf numFmtId="0" fontId="6" fillId="0" borderId="106" xfId="0" applyFont="1" applyBorder="1" applyAlignment="1" applyProtection="1">
      <alignment horizontal="center"/>
    </xf>
    <xf numFmtId="0" fontId="0" fillId="0" borderId="91" xfId="0" applyBorder="1" applyAlignment="1" applyProtection="1">
      <alignment horizontal="center"/>
    </xf>
    <xf numFmtId="0" fontId="0" fillId="0" borderId="92" xfId="0" applyBorder="1" applyAlignment="1" applyProtection="1">
      <alignment horizontal="center"/>
    </xf>
    <xf numFmtId="0" fontId="0" fillId="0" borderId="71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0" fillId="0" borderId="102" xfId="0" applyBorder="1" applyAlignment="1" applyProtection="1">
      <alignment horizontal="center"/>
    </xf>
    <xf numFmtId="0" fontId="0" fillId="0" borderId="103" xfId="0" applyBorder="1" applyAlignment="1" applyProtection="1">
      <alignment horizontal="center"/>
    </xf>
    <xf numFmtId="0" fontId="0" fillId="0" borderId="72" xfId="0" applyBorder="1" applyAlignment="1" applyProtection="1">
      <alignment horizontal="center"/>
    </xf>
    <xf numFmtId="0" fontId="0" fillId="0" borderId="74" xfId="0" applyBorder="1" applyAlignment="1" applyProtection="1">
      <alignment horizontal="center"/>
    </xf>
    <xf numFmtId="0" fontId="0" fillId="0" borderId="76" xfId="0" applyBorder="1" applyAlignment="1" applyProtection="1">
      <alignment horizontal="center"/>
    </xf>
    <xf numFmtId="0" fontId="0" fillId="0" borderId="73" xfId="0" applyBorder="1" applyAlignment="1" applyProtection="1">
      <alignment horizontal="center"/>
    </xf>
    <xf numFmtId="0" fontId="0" fillId="0" borderId="90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85" xfId="0" applyBorder="1" applyAlignment="1" applyProtection="1">
      <alignment horizontal="center"/>
    </xf>
    <xf numFmtId="0" fontId="0" fillId="0" borderId="9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3" fillId="0" borderId="101" xfId="0" applyFont="1" applyBorder="1" applyAlignment="1" applyProtection="1">
      <alignment horizontal="center"/>
    </xf>
    <xf numFmtId="0" fontId="3" fillId="0" borderId="100" xfId="0" applyFont="1" applyBorder="1" applyAlignment="1" applyProtection="1">
      <alignment shrinkToFit="1"/>
    </xf>
    <xf numFmtId="0" fontId="6" fillId="0" borderId="50" xfId="0" applyFont="1" applyBorder="1" applyAlignment="1" applyProtection="1">
      <alignment horizontal="center"/>
    </xf>
    <xf numFmtId="0" fontId="0" fillId="0" borderId="79" xfId="0" applyBorder="1" applyProtection="1"/>
    <xf numFmtId="0" fontId="0" fillId="0" borderId="80" xfId="0" applyBorder="1" applyProtection="1"/>
    <xf numFmtId="0" fontId="0" fillId="0" borderId="78" xfId="0" applyBorder="1" applyProtection="1"/>
    <xf numFmtId="0" fontId="0" fillId="0" borderId="51" xfId="0" applyBorder="1" applyProtection="1"/>
    <xf numFmtId="0" fontId="0" fillId="0" borderId="52" xfId="0" applyBorder="1" applyProtection="1"/>
    <xf numFmtId="0" fontId="0" fillId="0" borderId="53" xfId="0" applyBorder="1" applyProtection="1"/>
    <xf numFmtId="0" fontId="0" fillId="0" borderId="87" xfId="0" applyBorder="1" applyProtection="1"/>
    <xf numFmtId="0" fontId="0" fillId="0" borderId="81" xfId="0" applyBorder="1" applyProtection="1"/>
    <xf numFmtId="0" fontId="0" fillId="0" borderId="101" xfId="0" applyBorder="1" applyProtection="1"/>
    <xf numFmtId="0" fontId="0" fillId="0" borderId="99" xfId="0" applyBorder="1" applyProtection="1"/>
    <xf numFmtId="0" fontId="0" fillId="0" borderId="100" xfId="0" applyBorder="1" applyProtection="1"/>
    <xf numFmtId="0" fontId="0" fillId="0" borderId="14" xfId="0" applyBorder="1" applyAlignment="1" applyProtection="1">
      <alignment horizontal="center"/>
    </xf>
    <xf numFmtId="0" fontId="33" fillId="0" borderId="64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shrinkToFit="1"/>
    </xf>
    <xf numFmtId="0" fontId="6" fillId="0" borderId="33" xfId="0" applyFont="1" applyBorder="1" applyAlignment="1" applyProtection="1">
      <alignment horizontal="center"/>
    </xf>
    <xf numFmtId="0" fontId="0" fillId="0" borderId="32" xfId="0" applyBorder="1" applyProtection="1"/>
    <xf numFmtId="0" fontId="33" fillId="0" borderId="98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shrinkToFit="1"/>
    </xf>
    <xf numFmtId="0" fontId="6" fillId="0" borderId="24" xfId="0" applyFont="1" applyBorder="1" applyAlignment="1" applyProtection="1">
      <alignment horizontal="center"/>
    </xf>
    <xf numFmtId="0" fontId="0" fillId="0" borderId="34" xfId="0" applyBorder="1" applyProtection="1"/>
    <xf numFmtId="0" fontId="0" fillId="0" borderId="98" xfId="0" applyBorder="1" applyProtection="1"/>
    <xf numFmtId="0" fontId="0" fillId="0" borderId="0" xfId="0" applyAlignment="1" applyProtection="1">
      <alignment horizontal="right"/>
    </xf>
    <xf numFmtId="0" fontId="6" fillId="0" borderId="85" xfId="0" applyFont="1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0" fontId="15" fillId="0" borderId="75" xfId="0" applyFont="1" applyBorder="1" applyAlignment="1" applyProtection="1">
      <alignment horizontal="center"/>
    </xf>
    <xf numFmtId="0" fontId="6" fillId="0" borderId="52" xfId="0" applyFont="1" applyBorder="1" applyAlignment="1" applyProtection="1">
      <alignment horizontal="center"/>
    </xf>
    <xf numFmtId="0" fontId="3" fillId="0" borderId="86" xfId="0" applyFont="1" applyBorder="1" applyAlignment="1" applyProtection="1">
      <alignment shrinkToFit="1"/>
    </xf>
    <xf numFmtId="0" fontId="0" fillId="0" borderId="107" xfId="0" applyBorder="1" applyProtection="1"/>
    <xf numFmtId="0" fontId="3" fillId="0" borderId="15" xfId="0" applyFont="1" applyBorder="1" applyAlignment="1" applyProtection="1">
      <alignment shrinkToFit="1"/>
    </xf>
    <xf numFmtId="0" fontId="6" fillId="0" borderId="17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0" fillId="0" borderId="20" xfId="0" applyBorder="1" applyProtection="1"/>
    <xf numFmtId="0" fontId="1" fillId="0" borderId="84" xfId="2" applyBorder="1" applyAlignment="1" applyProtection="1">
      <alignment horizontal="center"/>
    </xf>
    <xf numFmtId="0" fontId="40" fillId="0" borderId="0" xfId="2" applyFont="1" applyProtection="1"/>
    <xf numFmtId="0" fontId="40" fillId="0" borderId="0" xfId="2" applyFont="1" applyAlignment="1" applyProtection="1">
      <alignment horizontal="center"/>
    </xf>
    <xf numFmtId="0" fontId="41" fillId="0" borderId="0" xfId="0" applyFont="1" applyProtection="1"/>
    <xf numFmtId="0" fontId="40" fillId="0" borderId="0" xfId="0" applyFont="1" applyProtection="1"/>
    <xf numFmtId="0" fontId="42" fillId="0" borderId="0" xfId="0" applyFont="1" applyProtection="1"/>
    <xf numFmtId="15" fontId="15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5" fontId="4" fillId="0" borderId="1" xfId="2" applyNumberFormat="1" applyFont="1" applyBorder="1" applyAlignment="1" applyProtection="1">
      <alignment horizontal="center"/>
    </xf>
    <xf numFmtId="0" fontId="1" fillId="0" borderId="1" xfId="2" applyBorder="1" applyAlignment="1" applyProtection="1">
      <alignment horizontal="center"/>
    </xf>
    <xf numFmtId="0" fontId="6" fillId="0" borderId="96" xfId="0" applyFont="1" applyBorder="1" applyAlignment="1" applyProtection="1">
      <alignment horizontal="center"/>
    </xf>
    <xf numFmtId="0" fontId="6" fillId="0" borderId="77" xfId="0" applyFont="1" applyBorder="1" applyAlignment="1" applyProtection="1">
      <alignment horizontal="center"/>
    </xf>
    <xf numFmtId="0" fontId="6" fillId="0" borderId="88" xfId="0" applyFont="1" applyBorder="1" applyAlignment="1" applyProtection="1">
      <alignment horizontal="center"/>
    </xf>
    <xf numFmtId="0" fontId="6" fillId="0" borderId="70" xfId="0" applyFont="1" applyBorder="1" applyAlignment="1" applyProtection="1">
      <alignment horizontal="center"/>
    </xf>
    <xf numFmtId="0" fontId="6" fillId="0" borderId="85" xfId="0" applyFont="1" applyBorder="1" applyAlignment="1" applyProtection="1">
      <alignment horizontal="center"/>
    </xf>
    <xf numFmtId="0" fontId="6" fillId="0" borderId="84" xfId="0" applyFont="1" applyBorder="1" applyAlignment="1" applyProtection="1">
      <alignment horizontal="center"/>
    </xf>
    <xf numFmtId="0" fontId="6" fillId="0" borderId="26" xfId="2" applyFont="1" applyBorder="1" applyAlignment="1" applyProtection="1">
      <alignment horizontal="center"/>
    </xf>
    <xf numFmtId="0" fontId="6" fillId="0" borderId="2" xfId="2" applyFont="1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6" fillId="0" borderId="3" xfId="2" applyFont="1" applyBorder="1" applyAlignment="1" applyProtection="1">
      <alignment horizontal="center"/>
    </xf>
    <xf numFmtId="0" fontId="6" fillId="0" borderId="9" xfId="2" applyFont="1" applyBorder="1" applyAlignment="1" applyProtection="1">
      <alignment horizontal="center"/>
    </xf>
    <xf numFmtId="0" fontId="6" fillId="0" borderId="65" xfId="2" applyFont="1" applyBorder="1" applyAlignment="1" applyProtection="1">
      <alignment horizontal="center"/>
    </xf>
    <xf numFmtId="0" fontId="6" fillId="0" borderId="39" xfId="2" applyFont="1" applyBorder="1" applyAlignment="1" applyProtection="1">
      <alignment horizontal="center"/>
    </xf>
    <xf numFmtId="0" fontId="6" fillId="0" borderId="40" xfId="2" applyFont="1" applyBorder="1" applyAlignment="1" applyProtection="1">
      <alignment horizontal="center"/>
    </xf>
    <xf numFmtId="15" fontId="1" fillId="0" borderId="69" xfId="2" applyNumberFormat="1" applyBorder="1" applyAlignment="1" applyProtection="1">
      <alignment horizontal="center"/>
    </xf>
    <xf numFmtId="15" fontId="0" fillId="0" borderId="69" xfId="0" applyNumberFormat="1" applyBorder="1" applyAlignment="1" applyProtection="1">
      <alignment horizontal="center"/>
    </xf>
    <xf numFmtId="0" fontId="14" fillId="0" borderId="9" xfId="0" applyFont="1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/>
    </xf>
    <xf numFmtId="0" fontId="14" fillId="0" borderId="65" xfId="0" applyFont="1" applyBorder="1" applyAlignment="1" applyProtection="1">
      <alignment horizontal="center"/>
    </xf>
    <xf numFmtId="0" fontId="6" fillId="0" borderId="10" xfId="2" applyFont="1" applyBorder="1" applyAlignment="1" applyProtection="1">
      <alignment horizontal="center"/>
    </xf>
    <xf numFmtId="0" fontId="23" fillId="0" borderId="42" xfId="2" applyFont="1" applyFill="1" applyBorder="1" applyAlignment="1" applyProtection="1">
      <alignment horizontal="center"/>
    </xf>
    <xf numFmtId="0" fontId="24" fillId="0" borderId="3" xfId="0" applyFont="1" applyBorder="1" applyAlignment="1" applyProtection="1">
      <alignment horizontal="center"/>
    </xf>
    <xf numFmtId="0" fontId="0" fillId="0" borderId="84" xfId="0" applyBorder="1" applyAlignment="1" applyProtection="1">
      <alignment horizontal="center"/>
    </xf>
    <xf numFmtId="0" fontId="0" fillId="0" borderId="85" xfId="0" applyBorder="1" applyAlignment="1" applyProtection="1">
      <alignment horizontal="center"/>
    </xf>
    <xf numFmtId="0" fontId="6" fillId="0" borderId="79" xfId="0" applyFont="1" applyBorder="1" applyAlignment="1" applyProtection="1">
      <alignment horizontal="center"/>
    </xf>
    <xf numFmtId="0" fontId="6" fillId="0" borderId="80" xfId="0" applyFont="1" applyBorder="1" applyAlignment="1" applyProtection="1">
      <alignment horizontal="center"/>
    </xf>
    <xf numFmtId="0" fontId="6" fillId="0" borderId="78" xfId="0" applyFont="1" applyBorder="1" applyAlignment="1" applyProtection="1">
      <alignment horizontal="center"/>
    </xf>
    <xf numFmtId="0" fontId="6" fillId="0" borderId="87" xfId="0" applyFont="1" applyBorder="1" applyAlignment="1" applyProtection="1">
      <alignment horizontal="center"/>
    </xf>
    <xf numFmtId="0" fontId="6" fillId="0" borderId="81" xfId="0" applyFont="1" applyBorder="1" applyAlignment="1" applyProtection="1">
      <alignment horizontal="center"/>
    </xf>
    <xf numFmtId="0" fontId="6" fillId="0" borderId="77" xfId="0" applyFont="1" applyBorder="1" applyAlignment="1" applyProtection="1">
      <alignment horizontal="center" vertical="center"/>
    </xf>
    <xf numFmtId="0" fontId="6" fillId="0" borderId="8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/>
    </xf>
    <xf numFmtId="0" fontId="0" fillId="0" borderId="90" xfId="0" applyBorder="1" applyProtection="1"/>
    <xf numFmtId="0" fontId="0" fillId="0" borderId="64" xfId="0" applyBorder="1" applyProtection="1"/>
    <xf numFmtId="0" fontId="6" fillId="2" borderId="96" xfId="0" applyFont="1" applyFill="1" applyBorder="1" applyAlignment="1" applyProtection="1">
      <alignment horizontal="center"/>
    </xf>
    <xf numFmtId="0" fontId="0" fillId="0" borderId="8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3" fillId="0" borderId="80" xfId="0" applyFont="1" applyBorder="1" applyAlignment="1" applyProtection="1">
      <alignment shrinkToFit="1"/>
    </xf>
    <xf numFmtId="0" fontId="0" fillId="0" borderId="17" xfId="0" applyBorder="1" applyAlignment="1" applyProtection="1">
      <alignment shrinkToFit="1"/>
    </xf>
    <xf numFmtId="0" fontId="0" fillId="0" borderId="23" xfId="0" applyBorder="1" applyAlignment="1" applyProtection="1">
      <alignment shrinkToFit="1"/>
    </xf>
    <xf numFmtId="0" fontId="6" fillId="2" borderId="86" xfId="0" applyFont="1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5" fillId="0" borderId="86" xfId="0" applyFont="1" applyBorder="1" applyAlignment="1" applyProtection="1">
      <alignment horizontal="center"/>
    </xf>
    <xf numFmtId="0" fontId="15" fillId="0" borderId="86" xfId="0" applyFont="1" applyBorder="1" applyProtection="1"/>
    <xf numFmtId="0" fontId="15" fillId="0" borderId="8" xfId="0" applyFont="1" applyBorder="1" applyProtection="1"/>
    <xf numFmtId="0" fontId="6" fillId="0" borderId="96" xfId="0" applyFont="1" applyBorder="1" applyAlignment="1" applyProtection="1">
      <alignment horizontal="center" vertical="center"/>
    </xf>
    <xf numFmtId="0" fontId="0" fillId="0" borderId="86" xfId="0" applyBorder="1" applyAlignment="1" applyProtection="1">
      <alignment horizontal="center" vertical="center"/>
    </xf>
    <xf numFmtId="0" fontId="0" fillId="0" borderId="97" xfId="0" applyBorder="1" applyAlignment="1" applyProtection="1">
      <alignment horizontal="center" vertical="center"/>
    </xf>
    <xf numFmtId="0" fontId="15" fillId="0" borderId="96" xfId="0" applyFont="1" applyBorder="1" applyAlignment="1" applyProtection="1">
      <alignment horizontal="center"/>
    </xf>
    <xf numFmtId="0" fontId="0" fillId="0" borderId="86" xfId="0" applyBorder="1" applyProtection="1"/>
    <xf numFmtId="0" fontId="0" fillId="0" borderId="8" xfId="0" applyBorder="1" applyProtection="1"/>
    <xf numFmtId="0" fontId="0" fillId="0" borderId="96" xfId="0" applyBorder="1" applyAlignment="1" applyProtection="1">
      <alignment horizontal="center"/>
    </xf>
    <xf numFmtId="0" fontId="0" fillId="0" borderId="97" xfId="0" applyBorder="1" applyProtection="1"/>
    <xf numFmtId="0" fontId="0" fillId="0" borderId="98" xfId="0" applyBorder="1" applyProtection="1"/>
    <xf numFmtId="0" fontId="0" fillId="0" borderId="90" xfId="0" applyBorder="1" applyAlignment="1" applyProtection="1">
      <alignment horizontal="center"/>
    </xf>
    <xf numFmtId="0" fontId="31" fillId="0" borderId="0" xfId="0" applyFont="1" applyAlignment="1">
      <alignment horizontal="left"/>
    </xf>
  </cellXfs>
  <cellStyles count="3">
    <cellStyle name="Normal" xfId="0" builtinId="0"/>
    <cellStyle name="Normal_Competitions Workbook Valley" xfId="1"/>
    <cellStyle name="Normal_Standard Disciplines Competitions" xfId="2"/>
  </cellStyles>
  <dxfs count="13">
    <dxf>
      <fill>
        <patternFill>
          <bgColor theme="0" tint="-0.1499679555650502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14996795556505021"/>
        </patternFill>
      </fill>
    </dxf>
    <dxf>
      <font>
        <b/>
        <i val="0"/>
        <strike val="0"/>
      </font>
      <fill>
        <patternFill>
          <bgColor theme="0" tint="-0.14996795556505021"/>
        </patternFill>
      </fill>
    </dxf>
    <dxf>
      <font>
        <color rgb="FFCCFFFF"/>
      </font>
    </dxf>
    <dxf>
      <fill>
        <patternFill patternType="solid"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FFFF"/>
      <color rgb="FFB6DDE8"/>
      <color rgb="FFBFE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17" dropStyle="combo" dx="16" fmlaLink="$AC$43" fmlaRange="$AD$27:$AD$42" sel="2" val="0"/>
</file>

<file path=xl/ctrlProps/ctrlProp2.xml><?xml version="1.0" encoding="utf-8"?>
<formControlPr xmlns="http://schemas.microsoft.com/office/spreadsheetml/2009/9/main" objectType="Drop" dropLines="3" dropStyle="combo" dx="16" fmlaLink="$AT$4" fmlaRange="$AU$1:$AU$3" sel="3" val="0"/>
</file>

<file path=xl/ctrlProps/ctrlProp3.xml><?xml version="1.0" encoding="utf-8"?>
<formControlPr xmlns="http://schemas.microsoft.com/office/spreadsheetml/2009/9/main" objectType="Drop" dropLines="3" dropStyle="combo" dx="16" fmlaLink="$AT$4" fmlaRange="$AU$1:$AU$3" sel="3" val="0"/>
</file>

<file path=xl/ctrlProps/ctrlProp4.xml><?xml version="1.0" encoding="utf-8"?>
<formControlPr xmlns="http://schemas.microsoft.com/office/spreadsheetml/2009/9/main" objectType="Drop" dropLines="3" dropStyle="combo" dx="16" fmlaLink="$AT$4" fmlaRange="$AU$1:$AU$3" sel="2" val="0"/>
</file>

<file path=xl/ctrlProps/ctrlProp5.xml><?xml version="1.0" encoding="utf-8"?>
<formControlPr xmlns="http://schemas.microsoft.com/office/spreadsheetml/2009/9/main" objectType="Drop" dropLines="3" dropStyle="combo" dx="16" fmlaLink="$AT$4" fmlaRange="$AU$1:$AU$3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</xdr:row>
          <xdr:rowOff>28575</xdr:rowOff>
        </xdr:from>
        <xdr:to>
          <xdr:col>12</xdr:col>
          <xdr:colOff>57150</xdr:colOff>
          <xdr:row>6</xdr:row>
          <xdr:rowOff>38100</xdr:rowOff>
        </xdr:to>
        <xdr:sp macro="" textlink="">
          <xdr:nvSpPr>
            <xdr:cNvPr id="8216" name="Drop Down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219075</xdr:colOff>
      <xdr:row>7</xdr:row>
      <xdr:rowOff>390525</xdr:rowOff>
    </xdr:from>
    <xdr:to>
      <xdr:col>12</xdr:col>
      <xdr:colOff>138078</xdr:colOff>
      <xdr:row>14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1409700"/>
          <a:ext cx="1233453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272144</xdr:colOff>
      <xdr:row>11</xdr:row>
      <xdr:rowOff>122464</xdr:rowOff>
    </xdr:from>
    <xdr:to>
      <xdr:col>22</xdr:col>
      <xdr:colOff>367393</xdr:colOff>
      <xdr:row>15</xdr:row>
      <xdr:rowOff>136070</xdr:rowOff>
    </xdr:to>
    <xdr:pic>
      <xdr:nvPicPr>
        <xdr:cNvPr id="2" name="Picture 1" descr="FITASC Logo greyscale 4cm.gif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2819" y="4418239"/>
          <a:ext cx="876299" cy="9851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0</xdr:row>
          <xdr:rowOff>57150</xdr:rowOff>
        </xdr:from>
        <xdr:to>
          <xdr:col>18</xdr:col>
          <xdr:colOff>9525</xdr:colOff>
          <xdr:row>1</xdr:row>
          <xdr:rowOff>9525</xdr:rowOff>
        </xdr:to>
        <xdr:sp macro="" textlink="">
          <xdr:nvSpPr>
            <xdr:cNvPr id="40961" name="Drop Down 1" hidden="1">
              <a:extLst>
                <a:ext uri="{63B3BB69-23CF-44E3-9099-C40C66FF867C}">
                  <a14:compatExt spid="_x0000_s40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272144</xdr:colOff>
      <xdr:row>11</xdr:row>
      <xdr:rowOff>122464</xdr:rowOff>
    </xdr:from>
    <xdr:to>
      <xdr:col>22</xdr:col>
      <xdr:colOff>367393</xdr:colOff>
      <xdr:row>15</xdr:row>
      <xdr:rowOff>136070</xdr:rowOff>
    </xdr:to>
    <xdr:pic>
      <xdr:nvPicPr>
        <xdr:cNvPr id="2" name="Picture 1" descr="FITASC Logo greyscale 4cm.gif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94585" y="4414317"/>
          <a:ext cx="879661" cy="98851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0</xdr:row>
          <xdr:rowOff>57150</xdr:rowOff>
        </xdr:from>
        <xdr:to>
          <xdr:col>18</xdr:col>
          <xdr:colOff>9525</xdr:colOff>
          <xdr:row>1</xdr:row>
          <xdr:rowOff>9525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272144</xdr:colOff>
      <xdr:row>11</xdr:row>
      <xdr:rowOff>122464</xdr:rowOff>
    </xdr:from>
    <xdr:to>
      <xdr:col>22</xdr:col>
      <xdr:colOff>367393</xdr:colOff>
      <xdr:row>15</xdr:row>
      <xdr:rowOff>136070</xdr:rowOff>
    </xdr:to>
    <xdr:pic>
      <xdr:nvPicPr>
        <xdr:cNvPr id="2" name="Picture 1" descr="FITASC Logo greyscale 4cm.gif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2819" y="4418239"/>
          <a:ext cx="876299" cy="98515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0</xdr:row>
          <xdr:rowOff>57150</xdr:rowOff>
        </xdr:from>
        <xdr:to>
          <xdr:col>18</xdr:col>
          <xdr:colOff>9525</xdr:colOff>
          <xdr:row>1</xdr:row>
          <xdr:rowOff>9525</xdr:rowOff>
        </xdr:to>
        <xdr:sp macro="" textlink="">
          <xdr:nvSpPr>
            <xdr:cNvPr id="27649" name="Drop Down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272144</xdr:colOff>
      <xdr:row>11</xdr:row>
      <xdr:rowOff>122464</xdr:rowOff>
    </xdr:from>
    <xdr:to>
      <xdr:col>22</xdr:col>
      <xdr:colOff>367393</xdr:colOff>
      <xdr:row>15</xdr:row>
      <xdr:rowOff>136070</xdr:rowOff>
    </xdr:to>
    <xdr:pic>
      <xdr:nvPicPr>
        <xdr:cNvPr id="2" name="Picture 1" descr="FITASC Logo greyscale 4cm.gif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82819" y="4418239"/>
          <a:ext cx="876299" cy="9851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285750</xdr:colOff>
      <xdr:row>23</xdr:row>
      <xdr:rowOff>114301</xdr:rowOff>
    </xdr:from>
    <xdr:to>
      <xdr:col>24</xdr:col>
      <xdr:colOff>285750</xdr:colOff>
      <xdr:row>25</xdr:row>
      <xdr:rowOff>228967</xdr:rowOff>
    </xdr:to>
    <xdr:pic>
      <xdr:nvPicPr>
        <xdr:cNvPr id="4" name="Picture 3" descr="FITASC Logo greyscale 4cm.gif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77475" y="7019926"/>
          <a:ext cx="781050" cy="8861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0</xdr:row>
          <xdr:rowOff>28575</xdr:rowOff>
        </xdr:from>
        <xdr:to>
          <xdr:col>18</xdr:col>
          <xdr:colOff>19050</xdr:colOff>
          <xdr:row>1</xdr:row>
          <xdr:rowOff>9525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J217"/>
  <sheetViews>
    <sheetView showGridLines="0" showRowColHeaders="0" showZeros="0" topLeftCell="B1" zoomScaleNormal="100" workbookViewId="0">
      <selection activeCell="E17" sqref="E17"/>
    </sheetView>
  </sheetViews>
  <sheetFormatPr defaultColWidth="9.140625" defaultRowHeight="12.75" x14ac:dyDescent="0.2"/>
  <cols>
    <col min="1" max="1" width="3.42578125" style="59" hidden="1" customWidth="1"/>
    <col min="2" max="2" width="5.42578125" style="29" customWidth="1"/>
    <col min="3" max="3" width="5.28515625" style="29" customWidth="1"/>
    <col min="4" max="4" width="4.7109375" style="29" customWidth="1"/>
    <col min="5" max="5" width="25.85546875" style="12" customWidth="1"/>
    <col min="6" max="6" width="5.5703125" style="29" customWidth="1"/>
    <col min="7" max="8" width="5.42578125" style="29" customWidth="1"/>
    <col min="9" max="9" width="5.7109375" style="29" customWidth="1"/>
    <col min="10" max="10" width="6.7109375" style="29" customWidth="1"/>
    <col min="11" max="11" width="4.7109375" style="29" customWidth="1"/>
    <col min="12" max="12" width="8.28515625" style="12" customWidth="1"/>
    <col min="13" max="17" width="9.140625" style="12"/>
    <col min="18" max="18" width="16.42578125" style="12" customWidth="1"/>
    <col min="19" max="28" width="9.140625" style="12"/>
    <col min="29" max="29" width="19.42578125" style="12" customWidth="1"/>
    <col min="30" max="16384" width="9.140625" style="12"/>
  </cols>
  <sheetData>
    <row r="1" spans="1:36" ht="19.5" customHeight="1" thickBot="1" x14ac:dyDescent="0.35">
      <c r="B1" s="27"/>
      <c r="C1" s="27"/>
      <c r="D1" s="54" t="s">
        <v>104</v>
      </c>
      <c r="E1" s="55"/>
      <c r="F1" s="55"/>
      <c r="G1" s="55"/>
      <c r="H1" s="56"/>
      <c r="I1" s="57"/>
      <c r="J1" s="57"/>
      <c r="K1" s="27"/>
      <c r="L1" s="22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43"/>
      <c r="AA1" s="43"/>
      <c r="AB1" s="43"/>
      <c r="AC1" s="61" t="str">
        <f ca="1">IF(ISERROR(FIND("[",CELL("filename",AC3))),CELL("Filename",AC3),SUBSTITUTE(LEFT(CELL("filename",AC3),FIND("]",CELL("filename",AC3),1)-1),"[",""))</f>
        <v>C:\Users\User\Documents\Clay\Clay Workbooks\2007 Workbooks\Blank or filled scoresheets Ver 1.2 - No Macros.xlsx</v>
      </c>
      <c r="AD1" s="61"/>
      <c r="AE1" s="61"/>
      <c r="AF1" s="61"/>
      <c r="AG1" s="61"/>
      <c r="AH1" s="13"/>
      <c r="AI1" s="13"/>
      <c r="AJ1" s="13"/>
    </row>
    <row r="2" spans="1:36" ht="3.75" customHeight="1" x14ac:dyDescent="0.2">
      <c r="I2" s="27"/>
      <c r="J2" s="27"/>
      <c r="K2" s="2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43"/>
      <c r="AA2" s="43"/>
      <c r="AB2" s="43"/>
      <c r="AC2" s="62">
        <v>42766</v>
      </c>
      <c r="AD2" s="61"/>
      <c r="AE2" s="61"/>
      <c r="AF2" s="61"/>
      <c r="AG2" s="61"/>
      <c r="AH2" s="13"/>
      <c r="AI2" s="13"/>
      <c r="AJ2" s="13"/>
    </row>
    <row r="3" spans="1:36" ht="3.75" customHeight="1" x14ac:dyDescent="0.2">
      <c r="I3" s="27"/>
      <c r="J3" s="27"/>
      <c r="K3" s="2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43"/>
      <c r="AA3" s="43"/>
      <c r="AB3" s="43"/>
      <c r="AC3" s="62">
        <v>43752</v>
      </c>
      <c r="AD3" s="61"/>
      <c r="AE3" s="61"/>
      <c r="AF3" s="61"/>
      <c r="AG3" s="61"/>
      <c r="AH3" s="13"/>
      <c r="AI3" s="13"/>
      <c r="AJ3" s="13"/>
    </row>
    <row r="4" spans="1:36" x14ac:dyDescent="0.2">
      <c r="D4" s="14" t="s">
        <v>30</v>
      </c>
      <c r="E4" s="30" t="s">
        <v>41</v>
      </c>
      <c r="G4" s="14" t="s">
        <v>0</v>
      </c>
      <c r="H4" s="497">
        <v>43743</v>
      </c>
      <c r="I4" s="498"/>
      <c r="J4" s="498"/>
      <c r="K4" s="2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43"/>
      <c r="AA4" s="43"/>
      <c r="AB4" s="43"/>
      <c r="AC4" s="61"/>
      <c r="AD4" s="61"/>
      <c r="AE4" s="61"/>
      <c r="AF4" s="61"/>
      <c r="AG4" s="61"/>
      <c r="AH4" s="13"/>
      <c r="AI4" s="13"/>
      <c r="AJ4" s="13"/>
    </row>
    <row r="5" spans="1:36" x14ac:dyDescent="0.2">
      <c r="I5" s="27"/>
      <c r="J5" s="28"/>
      <c r="K5" s="2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43"/>
      <c r="AA5" s="43"/>
      <c r="AB5" s="43"/>
      <c r="AC5" s="61" t="s">
        <v>52</v>
      </c>
      <c r="AD5" s="61"/>
      <c r="AE5" s="61" t="s">
        <v>73</v>
      </c>
      <c r="AF5" s="61"/>
      <c r="AG5" s="61" t="s">
        <v>90</v>
      </c>
      <c r="AH5" s="13"/>
      <c r="AI5" s="13"/>
      <c r="AJ5" s="13"/>
    </row>
    <row r="6" spans="1:36" ht="15" x14ac:dyDescent="0.2">
      <c r="D6" s="33" t="s">
        <v>176</v>
      </c>
      <c r="E6" s="70">
        <v>3</v>
      </c>
      <c r="I6" s="33" t="s">
        <v>68</v>
      </c>
      <c r="J6" s="27"/>
      <c r="K6" s="2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43"/>
      <c r="AA6" s="43"/>
      <c r="AB6" s="43"/>
      <c r="AC6" s="61" t="s">
        <v>84</v>
      </c>
      <c r="AD6" s="61"/>
      <c r="AE6" s="61" t="s">
        <v>86</v>
      </c>
      <c r="AF6" s="61"/>
      <c r="AG6" s="61" t="s">
        <v>93</v>
      </c>
      <c r="AH6" s="13"/>
      <c r="AI6" s="13"/>
      <c r="AJ6" s="13"/>
    </row>
    <row r="7" spans="1:36" x14ac:dyDescent="0.2">
      <c r="I7" s="27"/>
      <c r="J7" s="27"/>
      <c r="K7" s="2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43"/>
      <c r="AA7" s="43"/>
      <c r="AB7" s="43"/>
      <c r="AC7" s="61" t="s">
        <v>42</v>
      </c>
      <c r="AD7" s="61"/>
      <c r="AE7" s="61" t="s">
        <v>87</v>
      </c>
      <c r="AF7" s="61"/>
      <c r="AG7" s="61" t="s">
        <v>96</v>
      </c>
      <c r="AH7" s="13"/>
      <c r="AI7" s="13"/>
      <c r="AJ7" s="13"/>
    </row>
    <row r="8" spans="1:36" ht="42" x14ac:dyDescent="0.2">
      <c r="C8" s="34" t="s">
        <v>1</v>
      </c>
      <c r="D8" s="34" t="s">
        <v>36</v>
      </c>
      <c r="E8" s="69" t="s">
        <v>3</v>
      </c>
      <c r="F8" s="34" t="s">
        <v>52</v>
      </c>
      <c r="G8" s="34" t="s">
        <v>73</v>
      </c>
      <c r="H8" s="34" t="s">
        <v>90</v>
      </c>
      <c r="I8" s="34" t="s">
        <v>40</v>
      </c>
      <c r="J8" s="27"/>
      <c r="K8" s="2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43"/>
      <c r="AA8" s="43"/>
      <c r="AB8" s="43"/>
      <c r="AC8" s="61" t="s">
        <v>81</v>
      </c>
      <c r="AD8" s="61"/>
      <c r="AE8" s="61" t="s">
        <v>69</v>
      </c>
      <c r="AF8" s="61"/>
      <c r="AG8" s="61" t="s">
        <v>92</v>
      </c>
      <c r="AH8" s="13"/>
      <c r="AI8" s="13"/>
      <c r="AJ8" s="13"/>
    </row>
    <row r="9" spans="1:36" x14ac:dyDescent="0.2">
      <c r="C9" s="64">
        <f>IFERROR(VLOOKUP($E$6&amp;$D9,$A$17:$K$197,3,FALSE),"")</f>
        <v>3</v>
      </c>
      <c r="D9" s="64">
        <v>1</v>
      </c>
      <c r="E9" s="65" t="str">
        <f>IFERROR(VLOOKUP($E$6&amp;$D9,$A$17:$K$197,5,FALSE),"")</f>
        <v>Corbett Johannes</v>
      </c>
      <c r="F9" s="64" t="str">
        <f>IFERROR(VLOOKUP($E$6&amp;$D9,$A$17:$K$197,6,FALSE),"")</f>
        <v>S</v>
      </c>
      <c r="G9" s="64" t="str">
        <f>IFERROR(VLOOKUP($E$6&amp;$D9,$A$17:$K$197,7,FALSE),"")</f>
        <v>A</v>
      </c>
      <c r="H9" s="64" t="str">
        <f>IFERROR(VLOOKUP($E$6&amp;$D9,$A$17:$K$197,8,FALSE),"")</f>
        <v>WC</v>
      </c>
      <c r="I9" s="64">
        <f>IFERROR(VLOOKUP($E$6&amp;$D9,$A$17:$K$197,11,FALSE),"")</f>
        <v>45</v>
      </c>
      <c r="J9" s="27"/>
      <c r="K9" s="2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43"/>
      <c r="AA9" s="43"/>
      <c r="AB9" s="43"/>
      <c r="AC9" s="61" t="s">
        <v>77</v>
      </c>
      <c r="AD9" s="61"/>
      <c r="AE9" s="61" t="s">
        <v>70</v>
      </c>
      <c r="AF9" s="61"/>
      <c r="AG9" s="61" t="s">
        <v>98</v>
      </c>
      <c r="AH9" s="13"/>
      <c r="AI9" s="13"/>
      <c r="AJ9" s="13"/>
    </row>
    <row r="10" spans="1:36" ht="15" customHeight="1" x14ac:dyDescent="0.2">
      <c r="C10" s="64">
        <f>IFERROR(VLOOKUP($E$6&amp;$D10,$A$17:$K$197,3,FALSE),"")</f>
        <v>3</v>
      </c>
      <c r="D10" s="64">
        <v>2</v>
      </c>
      <c r="E10" s="65" t="str">
        <f>IFERROR(VLOOKUP($E$6&amp;$D10,$A$17:$K$197,5,FALSE),"")</f>
        <v>Marx Zandre</v>
      </c>
      <c r="F10" s="64" t="str">
        <f>IFERROR(VLOOKUP($E$6&amp;$D10,$A$17:$K$197,6,FALSE),"")</f>
        <v>Ct</v>
      </c>
      <c r="G10" s="64" t="str">
        <f>IFERROR(VLOOKUP($E$6&amp;$D10,$A$17:$K$197,7,FALSE),"")</f>
        <v>C</v>
      </c>
      <c r="H10" s="64" t="str">
        <f>IFERROR(VLOOKUP($E$6&amp;$D10,$A$17:$K$197,8,FALSE),"")</f>
        <v>WC</v>
      </c>
      <c r="I10" s="64">
        <f>IFERROR(VLOOKUP($E$6&amp;$D10,$A$17:$K$197,11,FALSE),"")</f>
        <v>70</v>
      </c>
      <c r="K10" s="27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43"/>
      <c r="AA10" s="43"/>
      <c r="AB10" s="43"/>
      <c r="AC10" s="61" t="s">
        <v>85</v>
      </c>
      <c r="AD10" s="61"/>
      <c r="AE10" s="61" t="s">
        <v>71</v>
      </c>
      <c r="AF10" s="61"/>
      <c r="AG10" s="61" t="s">
        <v>95</v>
      </c>
      <c r="AH10" s="13"/>
      <c r="AI10" s="13"/>
      <c r="AJ10" s="13"/>
    </row>
    <row r="11" spans="1:36" x14ac:dyDescent="0.2">
      <c r="C11" s="64">
        <f>IFERROR(VLOOKUP($E$6&amp;$D11,$A$17:$K$197,3,FALSE),"")</f>
        <v>3</v>
      </c>
      <c r="D11" s="64">
        <v>3</v>
      </c>
      <c r="E11" s="65" t="str">
        <f>IFERROR(VLOOKUP($E$6&amp;$D11,$A$17:$K$197,5,FALSE),"")</f>
        <v>Jones Jesse</v>
      </c>
      <c r="F11" s="64" t="str">
        <f>IFERROR(VLOOKUP($E$6&amp;$D11,$A$17:$K$197,6,FALSE),"")</f>
        <v>S</v>
      </c>
      <c r="G11" s="64" t="str">
        <f>IFERROR(VLOOKUP($E$6&amp;$D11,$A$17:$K$197,7,FALSE),"")</f>
        <v>B</v>
      </c>
      <c r="H11" s="64" t="str">
        <f>IFERROR(VLOOKUP($E$6&amp;$D11,$A$17:$K$197,8,FALSE),"")</f>
        <v>EC</v>
      </c>
      <c r="I11" s="64">
        <f>IFERROR(VLOOKUP($E$6&amp;$D11,$A$17:$K$197,11,FALSE),"")</f>
        <v>65</v>
      </c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43"/>
      <c r="AA11" s="43"/>
      <c r="AB11" s="43"/>
      <c r="AC11" s="61" t="s">
        <v>19</v>
      </c>
      <c r="AD11" s="61"/>
      <c r="AE11" s="61" t="s">
        <v>88</v>
      </c>
      <c r="AF11" s="61"/>
      <c r="AG11" s="61" t="s">
        <v>94</v>
      </c>
      <c r="AH11" s="13"/>
      <c r="AI11" s="13"/>
      <c r="AJ11" s="13"/>
    </row>
    <row r="12" spans="1:36" x14ac:dyDescent="0.2">
      <c r="C12" s="64">
        <f>IFERROR(VLOOKUP($E$6&amp;$D12,$A$17:$K$197,3,FALSE),"")</f>
        <v>3</v>
      </c>
      <c r="D12" s="64">
        <v>4</v>
      </c>
      <c r="E12" s="65" t="str">
        <f>IFERROR(VLOOKUP($E$6&amp;$D12,$A$17:$K$197,5,FALSE),"")</f>
        <v>Meredith Warren</v>
      </c>
      <c r="F12" s="64" t="str">
        <f>IFERROR(VLOOKUP($E$6&amp;$D12,$A$17:$K$197,6,FALSE),"")</f>
        <v>S</v>
      </c>
      <c r="G12" s="64" t="str">
        <f>IFERROR(VLOOKUP($E$6&amp;$D12,$A$17:$K$197,7,FALSE),"")</f>
        <v>B</v>
      </c>
      <c r="H12" s="64" t="str">
        <f>IFERROR(VLOOKUP($E$6&amp;$D12,$A$17:$K$197,8,FALSE),"")</f>
        <v>CG</v>
      </c>
      <c r="I12" s="64">
        <f>IFERROR(VLOOKUP($E$6&amp;$D12,$A$17:$K$197,11,FALSE),"")</f>
        <v>43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43"/>
      <c r="AA12" s="43"/>
      <c r="AB12" s="43"/>
      <c r="AC12" s="61" t="s">
        <v>82</v>
      </c>
      <c r="AD12" s="61"/>
      <c r="AE12" s="61"/>
      <c r="AF12" s="61"/>
      <c r="AG12" s="61" t="s">
        <v>97</v>
      </c>
      <c r="AH12" s="13"/>
      <c r="AI12" s="13"/>
      <c r="AJ12" s="13"/>
    </row>
    <row r="13" spans="1:36" x14ac:dyDescent="0.2">
      <c r="C13" s="64">
        <f>IFERROR(VLOOKUP($E$6&amp;$D13,$A$17:$K$197,3,FALSE),"")</f>
        <v>3</v>
      </c>
      <c r="D13" s="64">
        <v>5</v>
      </c>
      <c r="E13" s="65" t="str">
        <f>IFERROR(VLOOKUP($E$6&amp;$D13,$A$17:$K$197,5,FALSE),"")</f>
        <v>Rabie Johannes</v>
      </c>
      <c r="F13" s="64" t="str">
        <f>IFERROR(VLOOKUP($E$6&amp;$D13,$A$17:$K$197,6,FALSE),"")</f>
        <v>S</v>
      </c>
      <c r="G13" s="64" t="str">
        <f>IFERROR(VLOOKUP($E$6&amp;$D13,$A$17:$K$197,7,FALSE),"")</f>
        <v>A</v>
      </c>
      <c r="H13" s="64" t="str">
        <f>IFERROR(VLOOKUP($E$6&amp;$D13,$A$17:$K$197,8,FALSE),"")</f>
        <v>WC</v>
      </c>
      <c r="I13" s="64">
        <f>IFERROR(VLOOKUP($E$6&amp;$D13,$A$17:$K$197,11,FALSE),"")</f>
        <v>3</v>
      </c>
      <c r="T13" s="18"/>
      <c r="U13" s="18"/>
      <c r="V13" s="18"/>
      <c r="W13" s="18"/>
      <c r="X13" s="18"/>
      <c r="Y13" s="18"/>
      <c r="Z13" s="43"/>
      <c r="AA13" s="43"/>
      <c r="AB13" s="43"/>
      <c r="AC13" s="61" t="s">
        <v>83</v>
      </c>
      <c r="AD13" s="61"/>
      <c r="AE13" s="61"/>
      <c r="AF13" s="61"/>
      <c r="AG13" s="61" t="s">
        <v>91</v>
      </c>
      <c r="AH13" s="13"/>
      <c r="AI13" s="13"/>
      <c r="AJ13" s="13"/>
    </row>
    <row r="14" spans="1:36" x14ac:dyDescent="0.2">
      <c r="C14" s="66" t="str">
        <f>IF($AC$43&lt;6,"",IFERROR(VLOOKUP($E$6&amp;$D14,$A$17:$K$197,3,FALSE),""))</f>
        <v/>
      </c>
      <c r="D14" s="66">
        <v>6</v>
      </c>
      <c r="E14" s="67" t="str">
        <f>IF($AC$43&lt;6,"",IFERROR(VLOOKUP($E$6&amp;$D14,$A$17:$K$197,5,FALSE),""))</f>
        <v/>
      </c>
      <c r="F14" s="66" t="str">
        <f>IF($AC$43&lt;6,"",IFERROR(VLOOKUP($E$6&amp;$D14,$A$17:$K$197,6,FALSE),""))</f>
        <v/>
      </c>
      <c r="G14" s="66" t="str">
        <f>IF($AC$43&lt;6,"",IFERROR(VLOOKUP($E$6&amp;$D14,$A$17:$K$197,7,FALSE),""))</f>
        <v/>
      </c>
      <c r="H14" s="66" t="str">
        <f>IF($AC$43&lt;6,"",IFERROR(VLOOKUP($E$6&amp;$D14,$A$17:$K$197,8,FALSE),""))</f>
        <v/>
      </c>
      <c r="I14" s="66" t="str">
        <f>IF($AC$43&lt;6,"",IFERROR(VLOOKUP($E$6&amp;$D14,$A$17:$K$197,11,FALSE),""))</f>
        <v/>
      </c>
      <c r="T14" s="18"/>
      <c r="U14" s="18"/>
      <c r="V14" s="18"/>
      <c r="W14" s="18"/>
      <c r="X14" s="18"/>
      <c r="Y14" s="18"/>
      <c r="Z14" s="43"/>
      <c r="AA14" s="43"/>
      <c r="AB14" s="43"/>
      <c r="AC14" s="61"/>
      <c r="AD14" s="61"/>
      <c r="AE14" s="61"/>
      <c r="AF14" s="61"/>
      <c r="AG14" s="61" t="s">
        <v>78</v>
      </c>
      <c r="AH14" s="13"/>
      <c r="AI14" s="13"/>
      <c r="AJ14" s="13"/>
    </row>
    <row r="15" spans="1:36" x14ac:dyDescent="0.2">
      <c r="D15" s="71" t="s">
        <v>169</v>
      </c>
      <c r="T15" s="18"/>
      <c r="U15" s="18"/>
      <c r="V15" s="18"/>
      <c r="W15" s="18"/>
      <c r="X15" s="18"/>
      <c r="Y15" s="18"/>
      <c r="Z15" s="43"/>
      <c r="AA15" s="43"/>
      <c r="AB15" s="43"/>
      <c r="AC15" s="61"/>
      <c r="AD15" s="61"/>
      <c r="AE15" s="61"/>
      <c r="AF15" s="61"/>
      <c r="AG15" s="61"/>
      <c r="AH15" s="13"/>
      <c r="AI15" s="13"/>
      <c r="AJ15" s="13"/>
    </row>
    <row r="16" spans="1:36" ht="42" x14ac:dyDescent="0.2">
      <c r="A16" s="60" t="s">
        <v>72</v>
      </c>
      <c r="B16" s="34" t="s">
        <v>99</v>
      </c>
      <c r="C16" s="34" t="s">
        <v>1</v>
      </c>
      <c r="D16" s="34" t="s">
        <v>36</v>
      </c>
      <c r="E16" s="69" t="s">
        <v>3</v>
      </c>
      <c r="F16" s="34" t="s">
        <v>52</v>
      </c>
      <c r="G16" s="34" t="s">
        <v>73</v>
      </c>
      <c r="H16" s="34" t="s">
        <v>74</v>
      </c>
      <c r="I16" s="34" t="s">
        <v>76</v>
      </c>
      <c r="J16" s="34" t="s">
        <v>75</v>
      </c>
      <c r="K16" s="34" t="s">
        <v>40</v>
      </c>
      <c r="U16" s="18"/>
      <c r="V16" s="18"/>
      <c r="W16" s="18"/>
      <c r="X16" s="18"/>
      <c r="Y16" s="18"/>
      <c r="Z16" s="43"/>
      <c r="AA16" s="43"/>
      <c r="AB16" s="43"/>
      <c r="AC16" s="61"/>
      <c r="AD16" s="61"/>
      <c r="AE16" s="61"/>
      <c r="AF16" s="61"/>
      <c r="AG16" s="61"/>
      <c r="AH16" s="13"/>
      <c r="AI16" s="13"/>
      <c r="AJ16" s="13"/>
    </row>
    <row r="17" spans="1:36" x14ac:dyDescent="0.2">
      <c r="A17" s="59" t="str">
        <f>C17&amp;D17</f>
        <v>51</v>
      </c>
      <c r="B17" s="36">
        <f t="shared" ref="B17:B80" si="0">IF(C17="","",COUNTIF($C$17:$C$217,C17))</f>
        <v>5</v>
      </c>
      <c r="C17" s="31">
        <v>5</v>
      </c>
      <c r="D17" s="31">
        <v>1</v>
      </c>
      <c r="E17" s="37" t="s">
        <v>130</v>
      </c>
      <c r="F17" s="38" t="s">
        <v>42</v>
      </c>
      <c r="G17" s="38" t="s">
        <v>70</v>
      </c>
      <c r="H17" s="38" t="s">
        <v>78</v>
      </c>
      <c r="I17" s="38" t="s">
        <v>79</v>
      </c>
      <c r="J17" s="38">
        <v>3132</v>
      </c>
      <c r="K17" s="31">
        <v>27</v>
      </c>
      <c r="U17" s="18"/>
      <c r="V17" s="18"/>
      <c r="W17" s="18"/>
      <c r="X17" s="18"/>
      <c r="Y17" s="18"/>
      <c r="Z17" s="43"/>
      <c r="AA17" s="43"/>
      <c r="AB17" s="43"/>
      <c r="AC17" s="61"/>
      <c r="AD17" s="61"/>
      <c r="AE17" s="61"/>
      <c r="AF17" s="61"/>
      <c r="AG17" s="61"/>
      <c r="AH17" s="13"/>
      <c r="AI17" s="13"/>
      <c r="AJ17" s="13"/>
    </row>
    <row r="18" spans="1:36" x14ac:dyDescent="0.2">
      <c r="A18" s="59" t="str">
        <f t="shared" ref="A18:A81" si="1">C18&amp;D18</f>
        <v>71</v>
      </c>
      <c r="B18" s="29">
        <f t="shared" si="0"/>
        <v>5</v>
      </c>
      <c r="C18" s="39">
        <v>7</v>
      </c>
      <c r="D18" s="39">
        <v>1</v>
      </c>
      <c r="E18" s="40" t="s">
        <v>131</v>
      </c>
      <c r="F18" s="39" t="s">
        <v>42</v>
      </c>
      <c r="G18" s="39" t="s">
        <v>69</v>
      </c>
      <c r="H18" s="39" t="s">
        <v>92</v>
      </c>
      <c r="I18" s="38" t="s">
        <v>79</v>
      </c>
      <c r="J18" s="28">
        <v>5951</v>
      </c>
      <c r="K18" s="39">
        <v>4</v>
      </c>
      <c r="U18" s="18"/>
      <c r="V18" s="18"/>
      <c r="W18" s="18"/>
      <c r="X18" s="18"/>
      <c r="Y18" s="18"/>
      <c r="Z18" s="43"/>
      <c r="AA18" s="43"/>
      <c r="AB18" s="43"/>
      <c r="AC18" s="61"/>
      <c r="AD18" s="61"/>
      <c r="AE18" s="61"/>
      <c r="AF18" s="61"/>
      <c r="AG18" s="61"/>
      <c r="AH18" s="13"/>
      <c r="AI18" s="13"/>
      <c r="AJ18" s="13"/>
    </row>
    <row r="19" spans="1:36" x14ac:dyDescent="0.2">
      <c r="A19" s="59" t="str">
        <f t="shared" si="1"/>
        <v>52</v>
      </c>
      <c r="B19" s="29">
        <f t="shared" si="0"/>
        <v>5</v>
      </c>
      <c r="C19" s="39">
        <v>5</v>
      </c>
      <c r="D19" s="39">
        <v>2</v>
      </c>
      <c r="E19" s="40" t="s">
        <v>132</v>
      </c>
      <c r="F19" s="39" t="s">
        <v>42</v>
      </c>
      <c r="G19" s="28" t="s">
        <v>70</v>
      </c>
      <c r="H19" s="28" t="s">
        <v>98</v>
      </c>
      <c r="I19" s="38" t="s">
        <v>79</v>
      </c>
      <c r="J19" s="28">
        <v>6046</v>
      </c>
      <c r="K19" s="39">
        <v>59</v>
      </c>
      <c r="U19" s="18"/>
      <c r="V19" s="18"/>
      <c r="W19" s="18"/>
      <c r="X19" s="18"/>
      <c r="Y19" s="18"/>
      <c r="Z19" s="43"/>
      <c r="AA19" s="43"/>
      <c r="AB19" s="43"/>
      <c r="AC19" s="61"/>
      <c r="AD19" s="61"/>
      <c r="AE19" s="61"/>
      <c r="AF19" s="61"/>
      <c r="AG19" s="61"/>
      <c r="AH19" s="13"/>
      <c r="AI19" s="13"/>
      <c r="AJ19" s="13"/>
    </row>
    <row r="20" spans="1:36" x14ac:dyDescent="0.2">
      <c r="A20" s="59" t="str">
        <f t="shared" si="1"/>
        <v>11</v>
      </c>
      <c r="B20" s="29">
        <f t="shared" si="0"/>
        <v>5</v>
      </c>
      <c r="C20" s="39">
        <v>1</v>
      </c>
      <c r="D20" s="39">
        <v>1</v>
      </c>
      <c r="E20" s="40" t="s">
        <v>133</v>
      </c>
      <c r="F20" s="39" t="s">
        <v>42</v>
      </c>
      <c r="G20" s="39" t="s">
        <v>69</v>
      </c>
      <c r="H20" s="28" t="s">
        <v>92</v>
      </c>
      <c r="I20" s="38" t="s">
        <v>79</v>
      </c>
      <c r="J20" s="28">
        <v>1894</v>
      </c>
      <c r="K20" s="39">
        <v>57</v>
      </c>
      <c r="M20" s="18"/>
      <c r="N20" s="18"/>
      <c r="O20" s="18"/>
      <c r="P20" s="18"/>
      <c r="U20" s="18"/>
      <c r="V20" s="18"/>
      <c r="W20" s="18"/>
      <c r="X20" s="18"/>
      <c r="Y20" s="18"/>
      <c r="Z20" s="43"/>
      <c r="AA20" s="43"/>
      <c r="AB20" s="43"/>
      <c r="AC20" s="61"/>
      <c r="AD20" s="61"/>
      <c r="AE20" s="61"/>
      <c r="AF20" s="61"/>
      <c r="AG20" s="61"/>
      <c r="AH20" s="13"/>
      <c r="AI20" s="13"/>
      <c r="AJ20" s="13"/>
    </row>
    <row r="21" spans="1:36" x14ac:dyDescent="0.2">
      <c r="A21" s="59" t="str">
        <f t="shared" si="1"/>
        <v>61</v>
      </c>
      <c r="B21" s="35">
        <f t="shared" si="0"/>
        <v>5</v>
      </c>
      <c r="C21" s="32">
        <v>6</v>
      </c>
      <c r="D21" s="32">
        <v>1</v>
      </c>
      <c r="E21" s="41" t="s">
        <v>134</v>
      </c>
      <c r="F21" s="32" t="s">
        <v>42</v>
      </c>
      <c r="G21" s="39" t="s">
        <v>69</v>
      </c>
      <c r="H21" s="28" t="s">
        <v>93</v>
      </c>
      <c r="I21" s="38" t="s">
        <v>79</v>
      </c>
      <c r="J21" s="28">
        <v>5751</v>
      </c>
      <c r="K21" s="32">
        <v>41</v>
      </c>
      <c r="M21" s="18"/>
      <c r="N21" s="18"/>
      <c r="O21" s="18"/>
      <c r="P21" s="18"/>
      <c r="U21" s="18"/>
      <c r="V21" s="18"/>
      <c r="W21" s="18"/>
      <c r="X21" s="18"/>
      <c r="Y21" s="18"/>
      <c r="Z21" s="43"/>
      <c r="AA21" s="43"/>
      <c r="AB21" s="43"/>
      <c r="AC21" s="61"/>
      <c r="AD21" s="61"/>
      <c r="AE21" s="61"/>
      <c r="AF21" s="61"/>
      <c r="AG21" s="61"/>
      <c r="AH21" s="13"/>
      <c r="AI21" s="13"/>
      <c r="AJ21" s="13"/>
    </row>
    <row r="22" spans="1:36" x14ac:dyDescent="0.2">
      <c r="A22" s="59" t="str">
        <f t="shared" si="1"/>
        <v>43</v>
      </c>
      <c r="B22" s="29">
        <f t="shared" si="0"/>
        <v>5</v>
      </c>
      <c r="C22" s="39">
        <v>4</v>
      </c>
      <c r="D22" s="39">
        <v>3</v>
      </c>
      <c r="E22" s="40" t="s">
        <v>135</v>
      </c>
      <c r="F22" s="39" t="s">
        <v>19</v>
      </c>
      <c r="G22" s="39" t="s">
        <v>71</v>
      </c>
      <c r="H22" s="28" t="s">
        <v>93</v>
      </c>
      <c r="I22" s="38" t="s">
        <v>79</v>
      </c>
      <c r="J22" s="28">
        <v>5973</v>
      </c>
      <c r="K22" s="39">
        <v>40</v>
      </c>
      <c r="M22" s="18"/>
      <c r="N22" s="18"/>
      <c r="O22" s="18"/>
      <c r="P22" s="18"/>
      <c r="U22" s="18"/>
      <c r="V22" s="18"/>
      <c r="W22" s="18"/>
      <c r="X22" s="18"/>
      <c r="Y22" s="18"/>
      <c r="Z22" s="43"/>
      <c r="AA22" s="43"/>
      <c r="AB22" s="43"/>
      <c r="AC22" s="61"/>
      <c r="AD22" s="61"/>
      <c r="AE22" s="61"/>
      <c r="AF22" s="61"/>
      <c r="AG22" s="61"/>
      <c r="AH22" s="13"/>
      <c r="AI22" s="13"/>
      <c r="AJ22" s="13"/>
    </row>
    <row r="23" spans="1:36" x14ac:dyDescent="0.2">
      <c r="A23" s="59" t="str">
        <f t="shared" si="1"/>
        <v>53</v>
      </c>
      <c r="B23" s="29">
        <f t="shared" si="0"/>
        <v>5</v>
      </c>
      <c r="C23" s="39">
        <v>5</v>
      </c>
      <c r="D23" s="39">
        <v>3</v>
      </c>
      <c r="E23" s="40" t="s">
        <v>136</v>
      </c>
      <c r="F23" s="39" t="s">
        <v>19</v>
      </c>
      <c r="G23" s="39" t="s">
        <v>71</v>
      </c>
      <c r="H23" s="28" t="s">
        <v>78</v>
      </c>
      <c r="I23" s="38" t="s">
        <v>79</v>
      </c>
      <c r="J23" s="28">
        <v>6044</v>
      </c>
      <c r="K23" s="39">
        <v>74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43"/>
      <c r="AA23" s="43"/>
      <c r="AB23" s="43"/>
      <c r="AC23" s="61"/>
      <c r="AD23" s="61"/>
      <c r="AE23" s="61"/>
      <c r="AF23" s="61"/>
      <c r="AG23" s="61"/>
      <c r="AH23" s="13"/>
      <c r="AI23" s="13"/>
      <c r="AJ23" s="13"/>
    </row>
    <row r="24" spans="1:36" x14ac:dyDescent="0.2">
      <c r="A24" s="59" t="str">
        <f t="shared" si="1"/>
        <v>31</v>
      </c>
      <c r="B24" s="29">
        <f t="shared" si="0"/>
        <v>5</v>
      </c>
      <c r="C24" s="39">
        <v>3</v>
      </c>
      <c r="D24" s="39">
        <v>1</v>
      </c>
      <c r="E24" s="40" t="s">
        <v>137</v>
      </c>
      <c r="F24" s="39" t="s">
        <v>42</v>
      </c>
      <c r="G24" s="39" t="s">
        <v>69</v>
      </c>
      <c r="H24" s="28" t="s">
        <v>78</v>
      </c>
      <c r="I24" s="38" t="s">
        <v>79</v>
      </c>
      <c r="J24" s="28">
        <v>5314</v>
      </c>
      <c r="K24" s="39">
        <v>45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43"/>
      <c r="AA24" s="43"/>
      <c r="AB24" s="43"/>
      <c r="AC24" s="61"/>
      <c r="AD24" s="61"/>
      <c r="AE24" s="61"/>
      <c r="AF24" s="61"/>
      <c r="AG24" s="61"/>
      <c r="AH24" s="13"/>
      <c r="AI24" s="13"/>
      <c r="AJ24" s="13"/>
    </row>
    <row r="25" spans="1:36" x14ac:dyDescent="0.2">
      <c r="A25" s="59" t="str">
        <f t="shared" si="1"/>
        <v>62</v>
      </c>
      <c r="B25" s="29">
        <f t="shared" si="0"/>
        <v>5</v>
      </c>
      <c r="C25" s="39">
        <v>6</v>
      </c>
      <c r="D25" s="39">
        <v>2</v>
      </c>
      <c r="E25" s="42" t="s">
        <v>138</v>
      </c>
      <c r="F25" s="39" t="s">
        <v>42</v>
      </c>
      <c r="G25" s="39" t="s">
        <v>69</v>
      </c>
      <c r="H25" s="28" t="s">
        <v>78</v>
      </c>
      <c r="I25" s="38" t="s">
        <v>79</v>
      </c>
      <c r="J25" s="28">
        <v>2780</v>
      </c>
      <c r="K25" s="39">
        <v>36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43"/>
      <c r="AA25" s="43"/>
      <c r="AB25" s="43"/>
      <c r="AC25" s="61"/>
      <c r="AD25" s="61"/>
      <c r="AE25" s="61"/>
      <c r="AF25" s="61"/>
      <c r="AG25" s="61"/>
      <c r="AH25" s="13"/>
      <c r="AI25" s="13"/>
      <c r="AJ25" s="13"/>
    </row>
    <row r="26" spans="1:36" x14ac:dyDescent="0.2">
      <c r="A26" s="59" t="str">
        <f t="shared" si="1"/>
        <v>44</v>
      </c>
      <c r="B26" s="29">
        <f t="shared" si="0"/>
        <v>5</v>
      </c>
      <c r="C26" s="39">
        <v>4</v>
      </c>
      <c r="D26" s="39">
        <v>4</v>
      </c>
      <c r="E26" s="42" t="s">
        <v>139</v>
      </c>
      <c r="F26" s="39" t="s">
        <v>42</v>
      </c>
      <c r="G26" s="39" t="s">
        <v>69</v>
      </c>
      <c r="H26" s="28" t="s">
        <v>78</v>
      </c>
      <c r="I26" s="38" t="s">
        <v>79</v>
      </c>
      <c r="J26" s="28">
        <v>2234</v>
      </c>
      <c r="K26" s="39">
        <v>35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43"/>
      <c r="AA26" s="43"/>
      <c r="AB26" s="43"/>
      <c r="AC26" s="61"/>
      <c r="AD26" s="61"/>
      <c r="AE26" s="61"/>
      <c r="AF26" s="61"/>
      <c r="AG26" s="61"/>
      <c r="AH26" s="13"/>
      <c r="AI26" s="13"/>
      <c r="AJ26" s="13"/>
    </row>
    <row r="27" spans="1:36" x14ac:dyDescent="0.2">
      <c r="A27" s="59" t="str">
        <f t="shared" si="1"/>
        <v>22</v>
      </c>
      <c r="B27" s="29">
        <f t="shared" si="0"/>
        <v>5</v>
      </c>
      <c r="C27" s="39">
        <v>2</v>
      </c>
      <c r="D27" s="39">
        <v>2</v>
      </c>
      <c r="E27" s="42" t="s">
        <v>89</v>
      </c>
      <c r="F27" s="39" t="s">
        <v>19</v>
      </c>
      <c r="G27" s="39" t="s">
        <v>71</v>
      </c>
      <c r="H27" s="28" t="s">
        <v>78</v>
      </c>
      <c r="I27" s="38" t="s">
        <v>79</v>
      </c>
      <c r="J27" s="28">
        <v>5846</v>
      </c>
      <c r="K27" s="39">
        <v>78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43"/>
      <c r="AA27" s="43"/>
      <c r="AB27" s="43"/>
      <c r="AC27" s="61">
        <v>1</v>
      </c>
      <c r="AD27" s="61" t="s">
        <v>27</v>
      </c>
      <c r="AE27" s="61"/>
      <c r="AF27" s="61"/>
      <c r="AG27" s="61"/>
      <c r="AH27" s="13"/>
      <c r="AI27" s="13"/>
      <c r="AJ27" s="13"/>
    </row>
    <row r="28" spans="1:36" x14ac:dyDescent="0.2">
      <c r="A28" s="59" t="str">
        <f t="shared" si="1"/>
        <v>21</v>
      </c>
      <c r="B28" s="29">
        <f t="shared" si="0"/>
        <v>5</v>
      </c>
      <c r="C28" s="39">
        <v>2</v>
      </c>
      <c r="D28" s="39">
        <v>1</v>
      </c>
      <c r="E28" s="42" t="s">
        <v>80</v>
      </c>
      <c r="F28" s="39" t="s">
        <v>42</v>
      </c>
      <c r="G28" s="39" t="s">
        <v>69</v>
      </c>
      <c r="H28" s="28" t="s">
        <v>78</v>
      </c>
      <c r="I28" s="38" t="s">
        <v>79</v>
      </c>
      <c r="J28" s="28">
        <v>4004</v>
      </c>
      <c r="K28" s="39">
        <v>1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43"/>
      <c r="AA28" s="43"/>
      <c r="AB28" s="43"/>
      <c r="AC28" s="61">
        <v>2</v>
      </c>
      <c r="AD28" s="61" t="s">
        <v>53</v>
      </c>
      <c r="AE28" s="61"/>
      <c r="AF28" s="61"/>
      <c r="AG28" s="61"/>
      <c r="AH28" s="13"/>
      <c r="AI28" s="13"/>
      <c r="AJ28" s="13"/>
    </row>
    <row r="29" spans="1:36" x14ac:dyDescent="0.2">
      <c r="A29" s="59" t="str">
        <f t="shared" si="1"/>
        <v>63</v>
      </c>
      <c r="B29" s="29">
        <f t="shared" si="0"/>
        <v>5</v>
      </c>
      <c r="C29" s="39">
        <v>6</v>
      </c>
      <c r="D29" s="39">
        <v>3</v>
      </c>
      <c r="E29" s="42" t="s">
        <v>140</v>
      </c>
      <c r="F29" s="39" t="s">
        <v>42</v>
      </c>
      <c r="G29" s="39" t="s">
        <v>70</v>
      </c>
      <c r="H29" s="28" t="s">
        <v>98</v>
      </c>
      <c r="I29" s="38" t="s">
        <v>79</v>
      </c>
      <c r="J29" s="28">
        <v>3908</v>
      </c>
      <c r="K29" s="39">
        <v>63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43"/>
      <c r="AA29" s="43"/>
      <c r="AB29" s="43"/>
      <c r="AC29" s="61">
        <v>3</v>
      </c>
      <c r="AD29" s="61" t="s">
        <v>54</v>
      </c>
      <c r="AE29" s="61"/>
      <c r="AF29" s="61"/>
      <c r="AG29" s="61"/>
      <c r="AH29" s="13"/>
      <c r="AI29" s="13"/>
      <c r="AJ29" s="13"/>
    </row>
    <row r="30" spans="1:36" x14ac:dyDescent="0.2">
      <c r="A30" s="59" t="str">
        <f t="shared" si="1"/>
        <v>33</v>
      </c>
      <c r="B30" s="29">
        <f t="shared" si="0"/>
        <v>5</v>
      </c>
      <c r="C30" s="39">
        <v>3</v>
      </c>
      <c r="D30" s="39">
        <v>3</v>
      </c>
      <c r="E30" s="42" t="s">
        <v>141</v>
      </c>
      <c r="F30" s="39" t="s">
        <v>42</v>
      </c>
      <c r="G30" s="39" t="s">
        <v>70</v>
      </c>
      <c r="H30" s="28" t="s">
        <v>96</v>
      </c>
      <c r="I30" s="38" t="s">
        <v>79</v>
      </c>
      <c r="J30" s="28">
        <v>5934</v>
      </c>
      <c r="K30" s="39">
        <v>65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43"/>
      <c r="AA30" s="43"/>
      <c r="AB30" s="43"/>
      <c r="AC30" s="61">
        <v>4</v>
      </c>
      <c r="AD30" s="61" t="s">
        <v>55</v>
      </c>
      <c r="AE30" s="61"/>
      <c r="AF30" s="61"/>
      <c r="AG30" s="61"/>
      <c r="AH30" s="13"/>
      <c r="AI30" s="13"/>
      <c r="AJ30" s="13"/>
    </row>
    <row r="31" spans="1:36" x14ac:dyDescent="0.2">
      <c r="A31" s="59" t="str">
        <f t="shared" si="1"/>
        <v>45</v>
      </c>
      <c r="B31" s="29">
        <f t="shared" si="0"/>
        <v>5</v>
      </c>
      <c r="C31" s="39">
        <v>4</v>
      </c>
      <c r="D31" s="39">
        <v>5</v>
      </c>
      <c r="E31" s="42" t="s">
        <v>142</v>
      </c>
      <c r="F31" s="39" t="s">
        <v>42</v>
      </c>
      <c r="G31" s="39" t="s">
        <v>71</v>
      </c>
      <c r="H31" s="28" t="s">
        <v>78</v>
      </c>
      <c r="I31" s="38" t="s">
        <v>79</v>
      </c>
      <c r="J31" s="28">
        <v>5104</v>
      </c>
      <c r="K31" s="39">
        <v>28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43"/>
      <c r="AA31" s="43"/>
      <c r="AB31" s="43"/>
      <c r="AC31" s="61">
        <v>5</v>
      </c>
      <c r="AD31" s="61" t="s">
        <v>56</v>
      </c>
      <c r="AE31" s="61"/>
      <c r="AF31" s="61"/>
      <c r="AG31" s="61"/>
      <c r="AH31" s="13"/>
      <c r="AI31" s="13"/>
      <c r="AJ31" s="13"/>
    </row>
    <row r="32" spans="1:36" x14ac:dyDescent="0.2">
      <c r="A32" s="59" t="str">
        <f t="shared" si="1"/>
        <v>12</v>
      </c>
      <c r="B32" s="29">
        <f t="shared" si="0"/>
        <v>5</v>
      </c>
      <c r="C32" s="39">
        <v>1</v>
      </c>
      <c r="D32" s="39">
        <v>2</v>
      </c>
      <c r="E32" s="42" t="s">
        <v>143</v>
      </c>
      <c r="F32" s="39" t="s">
        <v>42</v>
      </c>
      <c r="G32" s="39" t="s">
        <v>69</v>
      </c>
      <c r="H32" s="28" t="s">
        <v>78</v>
      </c>
      <c r="I32" s="38" t="s">
        <v>79</v>
      </c>
      <c r="J32" s="28">
        <v>3416</v>
      </c>
      <c r="K32" s="39">
        <v>71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43"/>
      <c r="AA32" s="43"/>
      <c r="AB32" s="43"/>
      <c r="AC32" s="61">
        <v>6</v>
      </c>
      <c r="AD32" s="61" t="s">
        <v>57</v>
      </c>
      <c r="AE32" s="61"/>
      <c r="AF32" s="61"/>
      <c r="AG32" s="61"/>
      <c r="AH32" s="13"/>
      <c r="AI32" s="13"/>
      <c r="AJ32" s="13"/>
    </row>
    <row r="33" spans="1:36" x14ac:dyDescent="0.2">
      <c r="A33" s="59" t="str">
        <f t="shared" si="1"/>
        <v>54</v>
      </c>
      <c r="B33" s="29">
        <f t="shared" si="0"/>
        <v>5</v>
      </c>
      <c r="C33" s="39">
        <v>5</v>
      </c>
      <c r="D33" s="39">
        <v>4</v>
      </c>
      <c r="E33" s="42" t="s">
        <v>144</v>
      </c>
      <c r="F33" s="39" t="s">
        <v>42</v>
      </c>
      <c r="G33" s="39" t="s">
        <v>71</v>
      </c>
      <c r="H33" s="39" t="s">
        <v>78</v>
      </c>
      <c r="I33" s="38" t="s">
        <v>79</v>
      </c>
      <c r="J33" s="39">
        <v>5502</v>
      </c>
      <c r="K33" s="39">
        <v>29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43"/>
      <c r="AA33" s="43"/>
      <c r="AB33" s="43"/>
      <c r="AC33" s="61">
        <v>7</v>
      </c>
      <c r="AD33" s="61" t="s">
        <v>58</v>
      </c>
      <c r="AE33" s="61"/>
      <c r="AF33" s="61"/>
      <c r="AG33" s="61"/>
      <c r="AH33" s="13"/>
      <c r="AI33" s="13"/>
      <c r="AJ33" s="13"/>
    </row>
    <row r="34" spans="1:36" x14ac:dyDescent="0.2">
      <c r="A34" s="59" t="str">
        <f t="shared" si="1"/>
        <v>32</v>
      </c>
      <c r="B34" s="29">
        <f t="shared" si="0"/>
        <v>5</v>
      </c>
      <c r="C34" s="39">
        <v>3</v>
      </c>
      <c r="D34" s="39">
        <v>2</v>
      </c>
      <c r="E34" s="42" t="s">
        <v>145</v>
      </c>
      <c r="F34" s="39" t="s">
        <v>83</v>
      </c>
      <c r="G34" s="39" t="s">
        <v>71</v>
      </c>
      <c r="H34" s="39" t="s">
        <v>78</v>
      </c>
      <c r="I34" s="38" t="s">
        <v>79</v>
      </c>
      <c r="J34" s="39">
        <v>6042</v>
      </c>
      <c r="K34" s="39">
        <v>70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43"/>
      <c r="AA34" s="43"/>
      <c r="AB34" s="43"/>
      <c r="AC34" s="61">
        <v>8</v>
      </c>
      <c r="AD34" s="61" t="s">
        <v>59</v>
      </c>
      <c r="AE34" s="61"/>
      <c r="AF34" s="61"/>
      <c r="AG34" s="61"/>
      <c r="AH34" s="13"/>
      <c r="AI34" s="13"/>
      <c r="AJ34" s="13"/>
    </row>
    <row r="35" spans="1:36" ht="14.25" customHeight="1" x14ac:dyDescent="0.2">
      <c r="A35" s="59" t="str">
        <f t="shared" si="1"/>
        <v>34</v>
      </c>
      <c r="B35" s="29">
        <f t="shared" si="0"/>
        <v>5</v>
      </c>
      <c r="C35" s="39">
        <v>3</v>
      </c>
      <c r="D35" s="39">
        <v>4</v>
      </c>
      <c r="E35" s="42" t="s">
        <v>146</v>
      </c>
      <c r="F35" s="39" t="s">
        <v>42</v>
      </c>
      <c r="G35" s="39" t="s">
        <v>70</v>
      </c>
      <c r="H35" s="39" t="s">
        <v>93</v>
      </c>
      <c r="I35" s="38" t="s">
        <v>79</v>
      </c>
      <c r="J35" s="39">
        <v>5487</v>
      </c>
      <c r="K35" s="39">
        <v>43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43"/>
      <c r="AA35" s="43"/>
      <c r="AB35" s="43"/>
      <c r="AC35" s="61">
        <v>9</v>
      </c>
      <c r="AD35" s="61" t="s">
        <v>60</v>
      </c>
      <c r="AE35" s="61"/>
      <c r="AF35" s="61"/>
      <c r="AG35" s="61"/>
      <c r="AH35" s="13"/>
      <c r="AI35" s="13"/>
      <c r="AJ35" s="13"/>
    </row>
    <row r="36" spans="1:36" x14ac:dyDescent="0.2">
      <c r="A36" s="59" t="str">
        <f t="shared" si="1"/>
        <v>72</v>
      </c>
      <c r="B36" s="29">
        <f t="shared" si="0"/>
        <v>5</v>
      </c>
      <c r="C36" s="39">
        <v>7</v>
      </c>
      <c r="D36" s="39">
        <v>2</v>
      </c>
      <c r="E36" s="42" t="s">
        <v>147</v>
      </c>
      <c r="F36" s="39" t="s">
        <v>42</v>
      </c>
      <c r="G36" s="39" t="s">
        <v>71</v>
      </c>
      <c r="H36" s="39" t="s">
        <v>98</v>
      </c>
      <c r="I36" s="38" t="s">
        <v>79</v>
      </c>
      <c r="J36" s="39">
        <v>5993</v>
      </c>
      <c r="K36" s="39">
        <v>39</v>
      </c>
      <c r="Z36" s="43"/>
      <c r="AA36" s="43"/>
      <c r="AB36" s="43"/>
      <c r="AC36" s="61">
        <v>10</v>
      </c>
      <c r="AD36" s="61" t="s">
        <v>61</v>
      </c>
      <c r="AE36" s="61"/>
      <c r="AF36" s="61"/>
      <c r="AG36" s="61"/>
      <c r="AH36" s="13"/>
      <c r="AI36" s="13"/>
      <c r="AJ36" s="13"/>
    </row>
    <row r="37" spans="1:36" x14ac:dyDescent="0.2">
      <c r="A37" s="59" t="str">
        <f t="shared" si="1"/>
        <v>82</v>
      </c>
      <c r="B37" s="29">
        <f t="shared" si="0"/>
        <v>5</v>
      </c>
      <c r="C37" s="39">
        <v>8</v>
      </c>
      <c r="D37" s="39">
        <v>2</v>
      </c>
      <c r="E37" s="42" t="s">
        <v>148</v>
      </c>
      <c r="F37" s="39" t="s">
        <v>81</v>
      </c>
      <c r="G37" s="39" t="s">
        <v>71</v>
      </c>
      <c r="H37" s="39" t="s">
        <v>78</v>
      </c>
      <c r="I37" s="38" t="s">
        <v>79</v>
      </c>
      <c r="J37" s="39">
        <v>5724</v>
      </c>
      <c r="K37" s="39">
        <v>51</v>
      </c>
      <c r="Z37" s="43"/>
      <c r="AA37" s="43"/>
      <c r="AB37" s="43"/>
      <c r="AC37" s="61">
        <v>11</v>
      </c>
      <c r="AD37" s="61" t="s">
        <v>62</v>
      </c>
      <c r="AE37" s="61"/>
      <c r="AF37" s="61"/>
      <c r="AG37" s="61"/>
      <c r="AH37" s="13"/>
      <c r="AI37" s="13"/>
      <c r="AJ37" s="13"/>
    </row>
    <row r="38" spans="1:36" x14ac:dyDescent="0.2">
      <c r="A38" s="59" t="str">
        <f t="shared" si="1"/>
        <v>41</v>
      </c>
      <c r="B38" s="29">
        <f t="shared" si="0"/>
        <v>5</v>
      </c>
      <c r="C38" s="39">
        <v>4</v>
      </c>
      <c r="D38" s="39">
        <v>1</v>
      </c>
      <c r="E38" s="42" t="s">
        <v>149</v>
      </c>
      <c r="F38" s="39" t="s">
        <v>42</v>
      </c>
      <c r="G38" s="39" t="s">
        <v>69</v>
      </c>
      <c r="H38" s="39" t="s">
        <v>98</v>
      </c>
      <c r="I38" s="38" t="s">
        <v>79</v>
      </c>
      <c r="J38" s="39">
        <v>5960</v>
      </c>
      <c r="K38" s="39">
        <v>56</v>
      </c>
      <c r="Z38" s="43"/>
      <c r="AA38" s="43"/>
      <c r="AB38" s="43"/>
      <c r="AC38" s="61">
        <v>12</v>
      </c>
      <c r="AD38" s="61" t="s">
        <v>63</v>
      </c>
      <c r="AE38" s="61"/>
      <c r="AF38" s="61"/>
      <c r="AG38" s="61"/>
      <c r="AH38" s="13"/>
      <c r="AI38" s="13"/>
      <c r="AJ38" s="13"/>
    </row>
    <row r="39" spans="1:36" x14ac:dyDescent="0.2">
      <c r="A39" s="59" t="str">
        <f t="shared" si="1"/>
        <v>14</v>
      </c>
      <c r="B39" s="29">
        <f t="shared" si="0"/>
        <v>5</v>
      </c>
      <c r="C39" s="39">
        <v>1</v>
      </c>
      <c r="D39" s="39">
        <v>4</v>
      </c>
      <c r="E39" s="42" t="s">
        <v>150</v>
      </c>
      <c r="F39" s="39" t="s">
        <v>42</v>
      </c>
      <c r="G39" s="39" t="s">
        <v>71</v>
      </c>
      <c r="H39" s="39" t="s">
        <v>98</v>
      </c>
      <c r="I39" s="38" t="s">
        <v>79</v>
      </c>
      <c r="J39" s="39">
        <v>5857</v>
      </c>
      <c r="K39" s="39">
        <v>16</v>
      </c>
      <c r="Z39" s="43"/>
      <c r="AA39" s="43"/>
      <c r="AB39" s="43"/>
      <c r="AC39" s="61">
        <v>13</v>
      </c>
      <c r="AD39" s="61" t="s">
        <v>64</v>
      </c>
      <c r="AE39" s="61"/>
      <c r="AF39" s="61"/>
      <c r="AG39" s="61"/>
      <c r="AH39" s="13"/>
      <c r="AI39" s="13"/>
      <c r="AJ39" s="13"/>
    </row>
    <row r="40" spans="1:36" x14ac:dyDescent="0.2">
      <c r="A40" s="59" t="str">
        <f t="shared" si="1"/>
        <v>64</v>
      </c>
      <c r="B40" s="29">
        <f t="shared" si="0"/>
        <v>5</v>
      </c>
      <c r="C40" s="39">
        <v>6</v>
      </c>
      <c r="D40" s="39">
        <v>4</v>
      </c>
      <c r="E40" s="42" t="s">
        <v>151</v>
      </c>
      <c r="F40" s="39" t="s">
        <v>42</v>
      </c>
      <c r="G40" s="39" t="s">
        <v>71</v>
      </c>
      <c r="H40" s="39" t="s">
        <v>78</v>
      </c>
      <c r="I40" s="38" t="s">
        <v>79</v>
      </c>
      <c r="J40" s="39">
        <v>5736</v>
      </c>
      <c r="K40" s="39">
        <v>37</v>
      </c>
      <c r="Z40" s="43"/>
      <c r="AA40" s="43"/>
      <c r="AB40" s="43"/>
      <c r="AC40" s="61">
        <v>14</v>
      </c>
      <c r="AD40" s="61" t="s">
        <v>65</v>
      </c>
      <c r="AE40" s="61"/>
      <c r="AF40" s="61"/>
      <c r="AG40" s="61"/>
      <c r="AH40" s="13"/>
      <c r="AI40" s="13"/>
      <c r="AJ40" s="13"/>
    </row>
    <row r="41" spans="1:36" x14ac:dyDescent="0.2">
      <c r="A41" s="59" t="str">
        <f t="shared" si="1"/>
        <v>42</v>
      </c>
      <c r="B41" s="29">
        <f t="shared" si="0"/>
        <v>5</v>
      </c>
      <c r="C41" s="39">
        <v>4</v>
      </c>
      <c r="D41" s="39">
        <v>2</v>
      </c>
      <c r="E41" s="42" t="s">
        <v>152</v>
      </c>
      <c r="F41" s="39" t="s">
        <v>82</v>
      </c>
      <c r="G41" s="39" t="s">
        <v>69</v>
      </c>
      <c r="H41" s="39" t="s">
        <v>78</v>
      </c>
      <c r="I41" s="38" t="s">
        <v>79</v>
      </c>
      <c r="J41" s="39">
        <v>5735</v>
      </c>
      <c r="K41" s="39">
        <v>18</v>
      </c>
      <c r="Z41" s="43"/>
      <c r="AA41" s="43"/>
      <c r="AB41" s="43"/>
      <c r="AC41" s="61">
        <v>15</v>
      </c>
      <c r="AD41" s="61" t="s">
        <v>66</v>
      </c>
      <c r="AE41" s="61"/>
      <c r="AF41" s="61"/>
      <c r="AG41" s="61"/>
      <c r="AH41" s="13"/>
      <c r="AI41" s="13"/>
      <c r="AJ41" s="13"/>
    </row>
    <row r="42" spans="1:36" x14ac:dyDescent="0.2">
      <c r="A42" s="59" t="str">
        <f t="shared" si="1"/>
        <v>15</v>
      </c>
      <c r="B42" s="29">
        <f t="shared" si="0"/>
        <v>5</v>
      </c>
      <c r="C42" s="39">
        <v>1</v>
      </c>
      <c r="D42" s="39">
        <v>5</v>
      </c>
      <c r="E42" s="42" t="s">
        <v>153</v>
      </c>
      <c r="F42" s="39" t="s">
        <v>42</v>
      </c>
      <c r="G42" s="39" t="s">
        <v>69</v>
      </c>
      <c r="H42" s="39" t="s">
        <v>93</v>
      </c>
      <c r="I42" s="38" t="s">
        <v>79</v>
      </c>
      <c r="J42" s="39">
        <v>5658</v>
      </c>
      <c r="K42" s="39">
        <v>2</v>
      </c>
      <c r="Z42" s="13"/>
      <c r="AA42" s="13"/>
      <c r="AB42" s="61"/>
      <c r="AC42" s="61">
        <v>16</v>
      </c>
      <c r="AD42" s="61" t="s">
        <v>67</v>
      </c>
      <c r="AE42" s="61"/>
      <c r="AF42" s="61"/>
      <c r="AG42" s="61"/>
      <c r="AH42" s="13"/>
      <c r="AI42" s="13"/>
      <c r="AJ42" s="13"/>
    </row>
    <row r="43" spans="1:36" x14ac:dyDescent="0.2">
      <c r="A43" s="59" t="str">
        <f t="shared" si="1"/>
        <v>35</v>
      </c>
      <c r="B43" s="29">
        <f t="shared" si="0"/>
        <v>5</v>
      </c>
      <c r="C43" s="39">
        <v>3</v>
      </c>
      <c r="D43" s="39">
        <v>5</v>
      </c>
      <c r="E43" s="42" t="s">
        <v>154</v>
      </c>
      <c r="F43" s="39" t="s">
        <v>42</v>
      </c>
      <c r="G43" s="39" t="s">
        <v>69</v>
      </c>
      <c r="H43" s="39" t="s">
        <v>78</v>
      </c>
      <c r="I43" s="38" t="s">
        <v>79</v>
      </c>
      <c r="J43" s="39">
        <v>6030</v>
      </c>
      <c r="K43" s="39">
        <v>3</v>
      </c>
      <c r="Z43" s="13"/>
      <c r="AA43" s="13"/>
      <c r="AB43" s="61"/>
      <c r="AC43" s="63">
        <v>2</v>
      </c>
      <c r="AD43" s="61" t="str">
        <f>VLOOKUP(AC43,AC27:AD42,2,FALSE)</f>
        <v>ATA Trap</v>
      </c>
      <c r="AE43" s="61"/>
      <c r="AF43" s="61"/>
      <c r="AG43" s="61"/>
      <c r="AH43" s="13"/>
      <c r="AI43" s="13"/>
      <c r="AJ43" s="13"/>
    </row>
    <row r="44" spans="1:36" x14ac:dyDescent="0.2">
      <c r="A44" s="59" t="str">
        <f t="shared" si="1"/>
        <v>74</v>
      </c>
      <c r="B44" s="29">
        <f t="shared" si="0"/>
        <v>5</v>
      </c>
      <c r="C44" s="39">
        <v>7</v>
      </c>
      <c r="D44" s="39">
        <v>4</v>
      </c>
      <c r="E44" s="42" t="s">
        <v>155</v>
      </c>
      <c r="F44" s="39" t="s">
        <v>42</v>
      </c>
      <c r="G44" s="39" t="s">
        <v>69</v>
      </c>
      <c r="H44" s="39" t="s">
        <v>92</v>
      </c>
      <c r="I44" s="38" t="s">
        <v>79</v>
      </c>
      <c r="J44" s="39">
        <v>4103</v>
      </c>
      <c r="K44" s="39">
        <v>54</v>
      </c>
      <c r="Z44" s="13"/>
      <c r="AA44" s="13"/>
      <c r="AB44" s="61"/>
      <c r="AC44" s="61"/>
      <c r="AD44" s="61"/>
      <c r="AE44" s="61"/>
      <c r="AF44" s="61"/>
      <c r="AG44" s="61"/>
      <c r="AH44" s="13"/>
      <c r="AI44" s="13"/>
      <c r="AJ44" s="13"/>
    </row>
    <row r="45" spans="1:36" x14ac:dyDescent="0.2">
      <c r="A45" s="59" t="str">
        <f t="shared" si="1"/>
        <v>85</v>
      </c>
      <c r="B45" s="29">
        <f t="shared" si="0"/>
        <v>5</v>
      </c>
      <c r="C45" s="39">
        <v>8</v>
      </c>
      <c r="D45" s="39">
        <v>5</v>
      </c>
      <c r="E45" s="42" t="s">
        <v>156</v>
      </c>
      <c r="F45" s="39" t="s">
        <v>42</v>
      </c>
      <c r="G45" s="39" t="s">
        <v>69</v>
      </c>
      <c r="H45" s="39" t="s">
        <v>168</v>
      </c>
      <c r="I45" s="38" t="s">
        <v>79</v>
      </c>
      <c r="J45" s="39">
        <v>5898</v>
      </c>
      <c r="K45" s="39">
        <v>7</v>
      </c>
      <c r="Z45" s="13"/>
      <c r="AA45" s="13"/>
      <c r="AB45" s="61"/>
      <c r="AC45" s="61"/>
      <c r="AD45" s="61"/>
      <c r="AE45" s="61"/>
      <c r="AF45" s="61"/>
      <c r="AG45" s="61"/>
      <c r="AH45" s="13"/>
      <c r="AI45" s="13"/>
      <c r="AJ45" s="13"/>
    </row>
    <row r="46" spans="1:36" x14ac:dyDescent="0.2">
      <c r="A46" s="59" t="str">
        <f t="shared" si="1"/>
        <v>23</v>
      </c>
      <c r="B46" s="29">
        <f t="shared" si="0"/>
        <v>5</v>
      </c>
      <c r="C46" s="39">
        <v>2</v>
      </c>
      <c r="D46" s="39">
        <v>3</v>
      </c>
      <c r="E46" s="42" t="s">
        <v>157</v>
      </c>
      <c r="F46" s="39" t="s">
        <v>42</v>
      </c>
      <c r="G46" s="39" t="s">
        <v>70</v>
      </c>
      <c r="H46" s="39" t="s">
        <v>78</v>
      </c>
      <c r="I46" s="38" t="s">
        <v>79</v>
      </c>
      <c r="J46" s="39">
        <v>5404</v>
      </c>
      <c r="K46" s="39">
        <v>60</v>
      </c>
      <c r="Z46" s="13"/>
      <c r="AA46" s="13"/>
      <c r="AB46" s="61"/>
      <c r="AC46" s="61"/>
      <c r="AD46" s="61"/>
      <c r="AE46" s="61"/>
      <c r="AF46" s="61"/>
      <c r="AG46" s="61"/>
      <c r="AH46" s="13"/>
      <c r="AI46" s="13"/>
      <c r="AJ46" s="13"/>
    </row>
    <row r="47" spans="1:36" x14ac:dyDescent="0.2">
      <c r="A47" s="59" t="str">
        <f t="shared" si="1"/>
        <v>75</v>
      </c>
      <c r="B47" s="29">
        <f t="shared" si="0"/>
        <v>5</v>
      </c>
      <c r="C47" s="39">
        <v>7</v>
      </c>
      <c r="D47" s="39">
        <v>5</v>
      </c>
      <c r="E47" s="42" t="s">
        <v>158</v>
      </c>
      <c r="F47" s="39" t="s">
        <v>42</v>
      </c>
      <c r="G47" s="39" t="s">
        <v>70</v>
      </c>
      <c r="H47" s="39" t="s">
        <v>96</v>
      </c>
      <c r="I47" s="38" t="s">
        <v>79</v>
      </c>
      <c r="J47" s="39">
        <v>4566</v>
      </c>
      <c r="K47" s="39">
        <v>32</v>
      </c>
      <c r="Z47" s="13"/>
      <c r="AA47" s="13"/>
      <c r="AB47" s="61"/>
      <c r="AC47" s="61"/>
      <c r="AD47" s="61"/>
      <c r="AE47" s="61"/>
      <c r="AF47" s="61"/>
      <c r="AG47" s="61"/>
      <c r="AH47" s="13"/>
      <c r="AI47" s="13"/>
      <c r="AJ47" s="13"/>
    </row>
    <row r="48" spans="1:36" x14ac:dyDescent="0.2">
      <c r="A48" s="59" t="str">
        <f t="shared" si="1"/>
        <v>84</v>
      </c>
      <c r="B48" s="29">
        <f t="shared" si="0"/>
        <v>5</v>
      </c>
      <c r="C48" s="39">
        <v>8</v>
      </c>
      <c r="D48" s="39">
        <v>4</v>
      </c>
      <c r="E48" s="42" t="s">
        <v>159</v>
      </c>
      <c r="F48" s="39" t="s">
        <v>19</v>
      </c>
      <c r="G48" s="39" t="s">
        <v>71</v>
      </c>
      <c r="H48" s="39" t="s">
        <v>78</v>
      </c>
      <c r="I48" s="38" t="s">
        <v>79</v>
      </c>
      <c r="J48" s="39">
        <v>6038</v>
      </c>
      <c r="K48" s="39">
        <v>58</v>
      </c>
      <c r="Z48" s="13"/>
      <c r="AA48" s="13"/>
      <c r="AB48" s="61"/>
      <c r="AC48" s="61"/>
      <c r="AD48" s="61"/>
      <c r="AE48" s="61"/>
      <c r="AF48" s="61"/>
      <c r="AG48" s="61"/>
      <c r="AH48" s="13"/>
      <c r="AI48" s="13"/>
      <c r="AJ48" s="13"/>
    </row>
    <row r="49" spans="1:36" x14ac:dyDescent="0.2">
      <c r="A49" s="59" t="str">
        <f t="shared" si="1"/>
        <v>73</v>
      </c>
      <c r="B49" s="29">
        <f t="shared" si="0"/>
        <v>5</v>
      </c>
      <c r="C49" s="39">
        <v>7</v>
      </c>
      <c r="D49" s="39">
        <v>3</v>
      </c>
      <c r="E49" s="42" t="s">
        <v>160</v>
      </c>
      <c r="F49" s="39" t="s">
        <v>42</v>
      </c>
      <c r="G49" s="39" t="s">
        <v>69</v>
      </c>
      <c r="H49" s="39" t="s">
        <v>98</v>
      </c>
      <c r="I49" s="38" t="s">
        <v>79</v>
      </c>
      <c r="J49" s="39">
        <v>5349</v>
      </c>
      <c r="K49" s="39">
        <v>30</v>
      </c>
      <c r="Z49" s="13"/>
      <c r="AA49" s="13"/>
      <c r="AB49" s="61"/>
      <c r="AC49" s="61"/>
      <c r="AD49" s="61"/>
      <c r="AE49" s="61"/>
      <c r="AF49" s="61"/>
      <c r="AG49" s="61"/>
      <c r="AH49" s="13"/>
      <c r="AI49" s="13"/>
      <c r="AJ49" s="13"/>
    </row>
    <row r="50" spans="1:36" x14ac:dyDescent="0.2">
      <c r="A50" s="59" t="str">
        <f t="shared" si="1"/>
        <v>24</v>
      </c>
      <c r="B50" s="29">
        <f t="shared" si="0"/>
        <v>5</v>
      </c>
      <c r="C50" s="39">
        <v>2</v>
      </c>
      <c r="D50" s="39">
        <v>4</v>
      </c>
      <c r="E50" s="42" t="s">
        <v>161</v>
      </c>
      <c r="F50" s="39" t="s">
        <v>42</v>
      </c>
      <c r="G50" s="39" t="s">
        <v>69</v>
      </c>
      <c r="H50" s="39" t="s">
        <v>93</v>
      </c>
      <c r="I50" s="38" t="s">
        <v>79</v>
      </c>
      <c r="J50" s="39">
        <v>5742</v>
      </c>
      <c r="K50" s="39">
        <v>50</v>
      </c>
      <c r="Z50" s="13"/>
      <c r="AA50" s="13"/>
      <c r="AB50" s="61"/>
      <c r="AC50" s="61"/>
      <c r="AD50" s="61"/>
      <c r="AE50" s="61"/>
      <c r="AF50" s="61"/>
      <c r="AG50" s="61"/>
      <c r="AH50" s="13"/>
      <c r="AI50" s="13"/>
      <c r="AJ50" s="13"/>
    </row>
    <row r="51" spans="1:36" x14ac:dyDescent="0.2">
      <c r="A51" s="59" t="str">
        <f t="shared" si="1"/>
        <v>25</v>
      </c>
      <c r="B51" s="29">
        <f t="shared" si="0"/>
        <v>5</v>
      </c>
      <c r="C51" s="39">
        <v>2</v>
      </c>
      <c r="D51" s="39">
        <v>5</v>
      </c>
      <c r="E51" s="42" t="s">
        <v>162</v>
      </c>
      <c r="F51" s="39" t="s">
        <v>82</v>
      </c>
      <c r="G51" s="39" t="s">
        <v>69</v>
      </c>
      <c r="H51" s="39" t="s">
        <v>93</v>
      </c>
      <c r="I51" s="38" t="s">
        <v>79</v>
      </c>
      <c r="J51" s="39">
        <v>5743</v>
      </c>
      <c r="K51" s="39">
        <v>48</v>
      </c>
      <c r="Z51" s="13"/>
      <c r="AA51" s="13"/>
      <c r="AB51" s="61"/>
      <c r="AC51" s="61"/>
      <c r="AD51" s="61"/>
      <c r="AE51" s="61"/>
      <c r="AF51" s="61"/>
      <c r="AG51" s="61"/>
      <c r="AH51" s="13"/>
      <c r="AI51" s="13"/>
      <c r="AJ51" s="13"/>
    </row>
    <row r="52" spans="1:36" x14ac:dyDescent="0.2">
      <c r="A52" s="59" t="str">
        <f t="shared" si="1"/>
        <v>55</v>
      </c>
      <c r="B52" s="29">
        <f t="shared" si="0"/>
        <v>5</v>
      </c>
      <c r="C52" s="39">
        <v>5</v>
      </c>
      <c r="D52" s="39">
        <v>5</v>
      </c>
      <c r="E52" s="42" t="s">
        <v>163</v>
      </c>
      <c r="F52" s="39" t="s">
        <v>81</v>
      </c>
      <c r="G52" s="39" t="s">
        <v>71</v>
      </c>
      <c r="H52" s="39" t="s">
        <v>78</v>
      </c>
      <c r="I52" s="38" t="s">
        <v>79</v>
      </c>
      <c r="J52" s="39">
        <v>3288</v>
      </c>
      <c r="K52" s="39">
        <v>75</v>
      </c>
      <c r="Z52" s="13"/>
      <c r="AA52" s="13"/>
      <c r="AB52" s="61"/>
      <c r="AC52" s="61"/>
      <c r="AD52" s="61"/>
      <c r="AE52" s="61"/>
      <c r="AF52" s="61"/>
      <c r="AG52" s="61"/>
      <c r="AH52" s="13"/>
      <c r="AI52" s="13"/>
      <c r="AJ52" s="13"/>
    </row>
    <row r="53" spans="1:36" x14ac:dyDescent="0.2">
      <c r="A53" s="59" t="str">
        <f t="shared" si="1"/>
        <v>81</v>
      </c>
      <c r="B53" s="29">
        <f t="shared" si="0"/>
        <v>5</v>
      </c>
      <c r="C53" s="39">
        <v>8</v>
      </c>
      <c r="D53" s="39">
        <v>1</v>
      </c>
      <c r="E53" s="42" t="s">
        <v>164</v>
      </c>
      <c r="F53" s="39" t="s">
        <v>82</v>
      </c>
      <c r="G53" s="39" t="s">
        <v>69</v>
      </c>
      <c r="H53" s="39" t="s">
        <v>78</v>
      </c>
      <c r="I53" s="38" t="s">
        <v>79</v>
      </c>
      <c r="J53" s="39">
        <v>5388</v>
      </c>
      <c r="K53" s="39">
        <v>83</v>
      </c>
      <c r="Z53" s="13"/>
      <c r="AA53" s="13"/>
      <c r="AB53" s="61"/>
      <c r="AC53" s="61"/>
      <c r="AD53" s="61"/>
      <c r="AE53" s="61"/>
      <c r="AF53" s="61"/>
      <c r="AG53" s="61"/>
      <c r="AH53" s="13"/>
      <c r="AI53" s="13"/>
      <c r="AJ53" s="13"/>
    </row>
    <row r="54" spans="1:36" x14ac:dyDescent="0.2">
      <c r="A54" s="59" t="str">
        <f t="shared" si="1"/>
        <v>65</v>
      </c>
      <c r="B54" s="29">
        <f t="shared" si="0"/>
        <v>5</v>
      </c>
      <c r="C54" s="39">
        <v>6</v>
      </c>
      <c r="D54" s="39">
        <v>5</v>
      </c>
      <c r="E54" s="42" t="s">
        <v>165</v>
      </c>
      <c r="F54" s="39" t="s">
        <v>42</v>
      </c>
      <c r="G54" s="39" t="s">
        <v>71</v>
      </c>
      <c r="H54" s="39" t="s">
        <v>78</v>
      </c>
      <c r="I54" s="38" t="s">
        <v>79</v>
      </c>
      <c r="J54" s="39">
        <v>5460</v>
      </c>
      <c r="K54" s="39">
        <v>84</v>
      </c>
      <c r="Z54" s="13"/>
      <c r="AA54" s="13"/>
      <c r="AB54" s="61"/>
      <c r="AC54" s="61"/>
      <c r="AD54" s="61"/>
      <c r="AE54" s="61"/>
      <c r="AF54" s="61"/>
      <c r="AG54" s="61"/>
      <c r="AH54" s="13"/>
      <c r="AI54" s="13"/>
      <c r="AJ54" s="13"/>
    </row>
    <row r="55" spans="1:36" x14ac:dyDescent="0.2">
      <c r="A55" s="59" t="str">
        <f t="shared" si="1"/>
        <v>83</v>
      </c>
      <c r="B55" s="29">
        <f t="shared" si="0"/>
        <v>5</v>
      </c>
      <c r="C55" s="39">
        <v>8</v>
      </c>
      <c r="D55" s="39">
        <v>3</v>
      </c>
      <c r="E55" s="42" t="s">
        <v>166</v>
      </c>
      <c r="F55" s="39" t="s">
        <v>42</v>
      </c>
      <c r="G55" s="39" t="s">
        <v>70</v>
      </c>
      <c r="H55" s="39" t="s">
        <v>78</v>
      </c>
      <c r="I55" s="38" t="s">
        <v>79</v>
      </c>
      <c r="J55" s="39">
        <v>4170</v>
      </c>
      <c r="K55" s="39">
        <v>86</v>
      </c>
      <c r="Z55" s="13"/>
      <c r="AA55" s="13"/>
      <c r="AB55" s="61"/>
      <c r="AC55" s="61"/>
      <c r="AD55" s="61"/>
      <c r="AE55" s="61"/>
      <c r="AF55" s="61"/>
      <c r="AG55" s="61"/>
      <c r="AH55" s="13"/>
      <c r="AI55" s="13"/>
      <c r="AJ55" s="13"/>
    </row>
    <row r="56" spans="1:36" x14ac:dyDescent="0.2">
      <c r="A56" s="59" t="str">
        <f t="shared" si="1"/>
        <v>13</v>
      </c>
      <c r="B56" s="29">
        <f t="shared" si="0"/>
        <v>5</v>
      </c>
      <c r="C56" s="39">
        <v>1</v>
      </c>
      <c r="D56" s="39">
        <v>3</v>
      </c>
      <c r="E56" s="42" t="s">
        <v>167</v>
      </c>
      <c r="F56" s="39" t="s">
        <v>42</v>
      </c>
      <c r="G56" s="39" t="s">
        <v>71</v>
      </c>
      <c r="H56" s="39" t="s">
        <v>78</v>
      </c>
      <c r="I56" s="38" t="s">
        <v>79</v>
      </c>
      <c r="J56" s="39">
        <v>9999</v>
      </c>
      <c r="K56" s="39">
        <v>87</v>
      </c>
      <c r="Z56" s="13"/>
      <c r="AA56" s="13"/>
      <c r="AB56" s="61"/>
      <c r="AC56" s="61"/>
      <c r="AD56" s="61"/>
      <c r="AE56" s="61"/>
      <c r="AF56" s="61"/>
      <c r="AG56" s="61"/>
      <c r="AH56" s="13"/>
      <c r="AI56" s="13"/>
      <c r="AJ56" s="13"/>
    </row>
    <row r="57" spans="1:36" x14ac:dyDescent="0.2">
      <c r="A57" s="59" t="str">
        <f t="shared" si="1"/>
        <v/>
      </c>
      <c r="B57" s="29" t="str">
        <f t="shared" si="0"/>
        <v/>
      </c>
      <c r="C57" s="39"/>
      <c r="D57" s="39"/>
      <c r="E57" s="42"/>
      <c r="F57" s="39"/>
      <c r="G57" s="39"/>
      <c r="H57" s="39"/>
      <c r="I57" s="38"/>
      <c r="J57" s="39"/>
      <c r="K57" s="39"/>
      <c r="Z57" s="13"/>
      <c r="AA57" s="13"/>
      <c r="AB57" s="61"/>
      <c r="AC57" s="61"/>
      <c r="AD57" s="61"/>
      <c r="AE57" s="61"/>
      <c r="AF57" s="61"/>
      <c r="AG57" s="61"/>
      <c r="AH57" s="13"/>
      <c r="AI57" s="13"/>
      <c r="AJ57" s="13"/>
    </row>
    <row r="58" spans="1:36" x14ac:dyDescent="0.2">
      <c r="A58" s="59" t="str">
        <f t="shared" si="1"/>
        <v/>
      </c>
      <c r="B58" s="29" t="str">
        <f t="shared" si="0"/>
        <v/>
      </c>
      <c r="C58" s="39"/>
      <c r="D58" s="39"/>
      <c r="E58" s="42"/>
      <c r="F58" s="39"/>
      <c r="G58" s="39"/>
      <c r="H58" s="39"/>
      <c r="I58" s="39"/>
      <c r="J58" s="39"/>
      <c r="K58" s="39"/>
      <c r="Z58" s="13"/>
      <c r="AA58" s="13"/>
      <c r="AB58" s="61"/>
      <c r="AC58" s="61"/>
      <c r="AD58" s="61"/>
      <c r="AE58" s="61"/>
      <c r="AF58" s="61"/>
      <c r="AG58" s="61"/>
      <c r="AH58" s="13"/>
      <c r="AI58" s="13"/>
      <c r="AJ58" s="13"/>
    </row>
    <row r="59" spans="1:36" x14ac:dyDescent="0.2">
      <c r="A59" s="59" t="str">
        <f t="shared" si="1"/>
        <v/>
      </c>
      <c r="B59" s="29" t="str">
        <f t="shared" si="0"/>
        <v/>
      </c>
      <c r="C59" s="39"/>
      <c r="D59" s="39"/>
      <c r="E59" s="42"/>
      <c r="F59" s="39"/>
      <c r="G59" s="39"/>
      <c r="H59" s="39"/>
      <c r="I59" s="39"/>
      <c r="J59" s="39"/>
      <c r="K59" s="39"/>
      <c r="Z59" s="13"/>
      <c r="AA59" s="13"/>
      <c r="AB59" s="61"/>
      <c r="AC59" s="61"/>
      <c r="AD59" s="61"/>
      <c r="AE59" s="61"/>
      <c r="AF59" s="61"/>
      <c r="AG59" s="61"/>
      <c r="AH59" s="13"/>
      <c r="AI59" s="13"/>
      <c r="AJ59" s="13"/>
    </row>
    <row r="60" spans="1:36" x14ac:dyDescent="0.2">
      <c r="A60" s="59" t="str">
        <f t="shared" si="1"/>
        <v/>
      </c>
      <c r="B60" s="29" t="str">
        <f t="shared" si="0"/>
        <v/>
      </c>
      <c r="C60" s="39"/>
      <c r="D60" s="39"/>
      <c r="E60" s="42"/>
      <c r="F60" s="39"/>
      <c r="G60" s="39"/>
      <c r="H60" s="39"/>
      <c r="I60" s="39"/>
      <c r="J60" s="39"/>
      <c r="K60" s="39"/>
      <c r="Z60" s="13"/>
      <c r="AA60" s="13"/>
      <c r="AB60" s="61"/>
      <c r="AC60" s="61"/>
      <c r="AD60" s="61"/>
      <c r="AE60" s="61"/>
      <c r="AF60" s="61"/>
      <c r="AG60" s="61"/>
      <c r="AH60" s="13"/>
      <c r="AI60" s="13"/>
      <c r="AJ60" s="13"/>
    </row>
    <row r="61" spans="1:36" x14ac:dyDescent="0.2">
      <c r="A61" s="59" t="str">
        <f t="shared" si="1"/>
        <v/>
      </c>
      <c r="B61" s="29" t="str">
        <f t="shared" si="0"/>
        <v/>
      </c>
      <c r="C61" s="39"/>
      <c r="D61" s="39"/>
      <c r="E61" s="42"/>
      <c r="F61" s="39"/>
      <c r="G61" s="39"/>
      <c r="H61" s="39"/>
      <c r="I61" s="39"/>
      <c r="J61" s="39"/>
      <c r="K61" s="39"/>
      <c r="Z61" s="13"/>
      <c r="AA61" s="13"/>
      <c r="AB61" s="61"/>
      <c r="AC61" s="61"/>
      <c r="AD61" s="61"/>
      <c r="AE61" s="61"/>
      <c r="AF61" s="61"/>
      <c r="AG61" s="61"/>
      <c r="AH61" s="13"/>
      <c r="AI61" s="13"/>
      <c r="AJ61" s="13"/>
    </row>
    <row r="62" spans="1:36" x14ac:dyDescent="0.2">
      <c r="A62" s="59" t="str">
        <f t="shared" si="1"/>
        <v/>
      </c>
      <c r="B62" s="29" t="str">
        <f t="shared" si="0"/>
        <v/>
      </c>
      <c r="C62" s="39"/>
      <c r="D62" s="39"/>
      <c r="E62" s="42"/>
      <c r="F62" s="39"/>
      <c r="G62" s="39"/>
      <c r="H62" s="39"/>
      <c r="I62" s="39"/>
      <c r="J62" s="39"/>
      <c r="K62" s="39"/>
      <c r="Z62" s="13"/>
      <c r="AA62" s="13"/>
      <c r="AB62" s="61"/>
      <c r="AC62" s="61"/>
      <c r="AD62" s="61"/>
      <c r="AE62" s="61"/>
      <c r="AF62" s="61"/>
      <c r="AG62" s="61"/>
      <c r="AH62" s="13"/>
      <c r="AI62" s="13"/>
      <c r="AJ62" s="13"/>
    </row>
    <row r="63" spans="1:36" x14ac:dyDescent="0.2">
      <c r="A63" s="59" t="str">
        <f t="shared" si="1"/>
        <v/>
      </c>
      <c r="B63" s="29" t="str">
        <f t="shared" si="0"/>
        <v/>
      </c>
      <c r="C63" s="39"/>
      <c r="D63" s="39"/>
      <c r="E63" s="42"/>
      <c r="F63" s="39"/>
      <c r="G63" s="39"/>
      <c r="H63" s="39"/>
      <c r="I63" s="39"/>
      <c r="J63" s="39"/>
      <c r="K63" s="39"/>
      <c r="Z63" s="13"/>
      <c r="AA63" s="13"/>
      <c r="AB63" s="61"/>
      <c r="AC63" s="61"/>
      <c r="AD63" s="61"/>
      <c r="AE63" s="61"/>
      <c r="AF63" s="61"/>
      <c r="AG63" s="61"/>
      <c r="AH63" s="13"/>
      <c r="AI63" s="13"/>
      <c r="AJ63" s="13"/>
    </row>
    <row r="64" spans="1:36" x14ac:dyDescent="0.2">
      <c r="A64" s="59" t="str">
        <f t="shared" si="1"/>
        <v/>
      </c>
      <c r="B64" s="29" t="str">
        <f t="shared" si="0"/>
        <v/>
      </c>
      <c r="C64" s="39"/>
      <c r="D64" s="39"/>
      <c r="E64" s="42"/>
      <c r="F64" s="39"/>
      <c r="G64" s="39"/>
      <c r="H64" s="39"/>
      <c r="I64" s="39"/>
      <c r="J64" s="39"/>
      <c r="K64" s="39"/>
      <c r="Z64" s="13"/>
      <c r="AA64" s="13"/>
      <c r="AB64" s="61"/>
      <c r="AC64" s="61"/>
      <c r="AD64" s="61"/>
      <c r="AE64" s="61"/>
      <c r="AF64" s="61"/>
      <c r="AG64" s="61"/>
      <c r="AH64" s="13"/>
      <c r="AI64" s="13"/>
      <c r="AJ64" s="13"/>
    </row>
    <row r="65" spans="1:36" x14ac:dyDescent="0.2">
      <c r="A65" s="59" t="str">
        <f t="shared" si="1"/>
        <v/>
      </c>
      <c r="B65" s="29" t="str">
        <f t="shared" si="0"/>
        <v/>
      </c>
      <c r="C65" s="39"/>
      <c r="D65" s="39"/>
      <c r="E65" s="42"/>
      <c r="F65" s="39"/>
      <c r="G65" s="39"/>
      <c r="H65" s="39"/>
      <c r="I65" s="39"/>
      <c r="J65" s="39"/>
      <c r="K65" s="39"/>
      <c r="Z65" s="13"/>
      <c r="AA65" s="13"/>
      <c r="AB65" s="61"/>
      <c r="AC65" s="61"/>
      <c r="AD65" s="61"/>
      <c r="AE65" s="61"/>
      <c r="AF65" s="61"/>
      <c r="AG65" s="61"/>
      <c r="AH65" s="13"/>
      <c r="AI65" s="13"/>
      <c r="AJ65" s="13"/>
    </row>
    <row r="66" spans="1:36" x14ac:dyDescent="0.2">
      <c r="A66" s="59" t="str">
        <f t="shared" si="1"/>
        <v/>
      </c>
      <c r="B66" s="29" t="str">
        <f t="shared" si="0"/>
        <v/>
      </c>
      <c r="C66" s="39"/>
      <c r="D66" s="39"/>
      <c r="E66" s="42"/>
      <c r="F66" s="39"/>
      <c r="G66" s="39"/>
      <c r="H66" s="39"/>
      <c r="I66" s="39"/>
      <c r="J66" s="39"/>
      <c r="K66" s="39"/>
      <c r="Z66" s="13"/>
      <c r="AA66" s="13"/>
      <c r="AB66" s="61"/>
      <c r="AC66" s="61"/>
      <c r="AD66" s="61"/>
      <c r="AE66" s="61"/>
      <c r="AF66" s="61"/>
      <c r="AG66" s="61"/>
      <c r="AH66" s="13"/>
      <c r="AI66" s="13"/>
      <c r="AJ66" s="13"/>
    </row>
    <row r="67" spans="1:36" x14ac:dyDescent="0.2">
      <c r="A67" s="59" t="str">
        <f t="shared" si="1"/>
        <v/>
      </c>
      <c r="B67" s="29" t="str">
        <f t="shared" si="0"/>
        <v/>
      </c>
      <c r="C67" s="39"/>
      <c r="D67" s="39"/>
      <c r="E67" s="42"/>
      <c r="F67" s="39"/>
      <c r="G67" s="39"/>
      <c r="H67" s="39"/>
      <c r="I67" s="39"/>
      <c r="J67" s="39"/>
      <c r="K67" s="39"/>
      <c r="Z67" s="13"/>
      <c r="AA67" s="13"/>
      <c r="AB67" s="61"/>
      <c r="AC67" s="61"/>
      <c r="AD67" s="61"/>
      <c r="AE67" s="61"/>
      <c r="AF67" s="61"/>
      <c r="AG67" s="61"/>
      <c r="AH67" s="13"/>
      <c r="AI67" s="13"/>
      <c r="AJ67" s="13"/>
    </row>
    <row r="68" spans="1:36" x14ac:dyDescent="0.2">
      <c r="A68" s="59" t="str">
        <f t="shared" si="1"/>
        <v/>
      </c>
      <c r="B68" s="29" t="str">
        <f t="shared" si="0"/>
        <v/>
      </c>
      <c r="C68" s="39"/>
      <c r="D68" s="39"/>
      <c r="E68" s="42"/>
      <c r="F68" s="39"/>
      <c r="G68" s="39"/>
      <c r="H68" s="39"/>
      <c r="I68" s="39"/>
      <c r="J68" s="39"/>
      <c r="K68" s="39"/>
      <c r="Z68" s="13"/>
      <c r="AA68" s="13"/>
      <c r="AB68" s="61"/>
      <c r="AC68" s="61"/>
      <c r="AD68" s="61"/>
      <c r="AE68" s="61"/>
      <c r="AF68" s="61"/>
      <c r="AG68" s="61"/>
      <c r="AH68" s="13"/>
      <c r="AI68" s="13"/>
      <c r="AJ68" s="13"/>
    </row>
    <row r="69" spans="1:36" x14ac:dyDescent="0.2">
      <c r="A69" s="59" t="str">
        <f t="shared" si="1"/>
        <v/>
      </c>
      <c r="B69" s="29" t="str">
        <f t="shared" si="0"/>
        <v/>
      </c>
      <c r="C69" s="39"/>
      <c r="D69" s="39"/>
      <c r="E69" s="42"/>
      <c r="F69" s="39"/>
      <c r="G69" s="39"/>
      <c r="H69" s="39"/>
      <c r="I69" s="39"/>
      <c r="J69" s="39"/>
      <c r="K69" s="39"/>
      <c r="Z69" s="13"/>
      <c r="AA69" s="13"/>
      <c r="AB69" s="61"/>
      <c r="AC69" s="61"/>
      <c r="AD69" s="61"/>
      <c r="AE69" s="61"/>
      <c r="AF69" s="61"/>
      <c r="AG69" s="61"/>
      <c r="AH69" s="13"/>
      <c r="AI69" s="13"/>
      <c r="AJ69" s="13"/>
    </row>
    <row r="70" spans="1:36" x14ac:dyDescent="0.2">
      <c r="A70" s="59" t="str">
        <f t="shared" si="1"/>
        <v/>
      </c>
      <c r="B70" s="29" t="str">
        <f t="shared" si="0"/>
        <v/>
      </c>
      <c r="C70" s="39"/>
      <c r="D70" s="39"/>
      <c r="E70" s="42"/>
      <c r="F70" s="39"/>
      <c r="G70" s="39"/>
      <c r="H70" s="39"/>
      <c r="I70" s="39"/>
      <c r="J70" s="39"/>
      <c r="K70" s="39"/>
      <c r="Z70" s="13"/>
      <c r="AA70" s="13"/>
      <c r="AB70" s="61"/>
      <c r="AC70" s="61"/>
      <c r="AD70" s="61"/>
      <c r="AE70" s="61"/>
      <c r="AF70" s="61"/>
      <c r="AG70" s="61"/>
      <c r="AH70" s="13"/>
      <c r="AI70" s="13"/>
      <c r="AJ70" s="13"/>
    </row>
    <row r="71" spans="1:36" x14ac:dyDescent="0.2">
      <c r="A71" s="59" t="str">
        <f t="shared" si="1"/>
        <v/>
      </c>
      <c r="B71" s="29" t="str">
        <f t="shared" si="0"/>
        <v/>
      </c>
      <c r="C71" s="39"/>
      <c r="D71" s="39"/>
      <c r="E71" s="42"/>
      <c r="F71" s="39"/>
      <c r="G71" s="39"/>
      <c r="H71" s="39"/>
      <c r="I71" s="39"/>
      <c r="J71" s="39"/>
      <c r="K71" s="39"/>
      <c r="Z71" s="13"/>
      <c r="AA71" s="13"/>
      <c r="AB71" s="61"/>
      <c r="AC71" s="61"/>
      <c r="AD71" s="61"/>
      <c r="AE71" s="61"/>
      <c r="AF71" s="61"/>
      <c r="AG71" s="61"/>
      <c r="AH71" s="13"/>
      <c r="AI71" s="13"/>
      <c r="AJ71" s="13"/>
    </row>
    <row r="72" spans="1:36" x14ac:dyDescent="0.2">
      <c r="A72" s="59" t="str">
        <f t="shared" si="1"/>
        <v/>
      </c>
      <c r="B72" s="29" t="str">
        <f t="shared" si="0"/>
        <v/>
      </c>
      <c r="C72" s="39"/>
      <c r="D72" s="39"/>
      <c r="E72" s="42"/>
      <c r="F72" s="39"/>
      <c r="G72" s="39"/>
      <c r="H72" s="39"/>
      <c r="I72" s="39"/>
      <c r="J72" s="39"/>
      <c r="K72" s="39"/>
      <c r="Z72" s="13"/>
      <c r="AA72" s="13"/>
      <c r="AB72" s="61"/>
      <c r="AC72" s="61"/>
      <c r="AD72" s="61"/>
      <c r="AE72" s="61"/>
      <c r="AF72" s="61"/>
      <c r="AG72" s="61"/>
      <c r="AH72" s="13"/>
      <c r="AI72" s="13"/>
      <c r="AJ72" s="13"/>
    </row>
    <row r="73" spans="1:36" x14ac:dyDescent="0.2">
      <c r="A73" s="59" t="str">
        <f t="shared" si="1"/>
        <v/>
      </c>
      <c r="B73" s="29" t="str">
        <f t="shared" si="0"/>
        <v/>
      </c>
      <c r="C73" s="39"/>
      <c r="D73" s="39"/>
      <c r="E73" s="42"/>
      <c r="F73" s="39"/>
      <c r="G73" s="39"/>
      <c r="H73" s="39"/>
      <c r="I73" s="39"/>
      <c r="J73" s="39"/>
      <c r="K73" s="39"/>
      <c r="Z73" s="13"/>
      <c r="AA73" s="13"/>
      <c r="AB73" s="61"/>
      <c r="AC73" s="61"/>
      <c r="AD73" s="61"/>
      <c r="AE73" s="61"/>
      <c r="AF73" s="61"/>
      <c r="AG73" s="61"/>
      <c r="AH73" s="13"/>
      <c r="AI73" s="13"/>
      <c r="AJ73" s="13"/>
    </row>
    <row r="74" spans="1:36" x14ac:dyDescent="0.2">
      <c r="A74" s="59" t="str">
        <f t="shared" si="1"/>
        <v/>
      </c>
      <c r="B74" s="29" t="str">
        <f t="shared" si="0"/>
        <v/>
      </c>
      <c r="C74" s="39"/>
      <c r="D74" s="39"/>
      <c r="E74" s="42"/>
      <c r="F74" s="39"/>
      <c r="G74" s="39"/>
      <c r="H74" s="39"/>
      <c r="I74" s="39"/>
      <c r="J74" s="39"/>
      <c r="K74" s="39"/>
      <c r="Z74" s="13"/>
      <c r="AA74" s="13"/>
      <c r="AB74" s="61"/>
      <c r="AC74" s="61"/>
      <c r="AD74" s="61"/>
      <c r="AE74" s="61"/>
      <c r="AF74" s="61"/>
      <c r="AG74" s="61"/>
      <c r="AH74" s="13"/>
      <c r="AI74" s="13"/>
      <c r="AJ74" s="13"/>
    </row>
    <row r="75" spans="1:36" x14ac:dyDescent="0.2">
      <c r="A75" s="59" t="str">
        <f t="shared" si="1"/>
        <v/>
      </c>
      <c r="B75" s="29" t="str">
        <f t="shared" si="0"/>
        <v/>
      </c>
      <c r="C75" s="39"/>
      <c r="D75" s="39"/>
      <c r="E75" s="42"/>
      <c r="F75" s="39"/>
      <c r="G75" s="39"/>
      <c r="H75" s="39"/>
      <c r="I75" s="39"/>
      <c r="J75" s="39"/>
      <c r="K75" s="39"/>
      <c r="Z75" s="13"/>
      <c r="AA75" s="13"/>
      <c r="AB75" s="61"/>
      <c r="AC75" s="61"/>
      <c r="AD75" s="61"/>
      <c r="AE75" s="61"/>
      <c r="AF75" s="61"/>
      <c r="AG75" s="61"/>
      <c r="AH75" s="13"/>
      <c r="AI75" s="13"/>
      <c r="AJ75" s="13"/>
    </row>
    <row r="76" spans="1:36" x14ac:dyDescent="0.2">
      <c r="A76" s="59" t="str">
        <f t="shared" si="1"/>
        <v/>
      </c>
      <c r="B76" s="29" t="str">
        <f t="shared" si="0"/>
        <v/>
      </c>
      <c r="C76" s="39"/>
      <c r="D76" s="39"/>
      <c r="E76" s="42"/>
      <c r="F76" s="39"/>
      <c r="G76" s="39"/>
      <c r="H76" s="39"/>
      <c r="I76" s="39"/>
      <c r="J76" s="39"/>
      <c r="K76" s="39"/>
      <c r="Z76" s="13"/>
      <c r="AA76" s="13"/>
      <c r="AB76" s="61"/>
      <c r="AC76" s="61"/>
      <c r="AD76" s="61"/>
      <c r="AE76" s="61"/>
      <c r="AF76" s="61"/>
      <c r="AG76" s="61"/>
      <c r="AH76" s="13"/>
      <c r="AI76" s="13"/>
      <c r="AJ76" s="13"/>
    </row>
    <row r="77" spans="1:36" x14ac:dyDescent="0.2">
      <c r="A77" s="59" t="str">
        <f t="shared" si="1"/>
        <v/>
      </c>
      <c r="B77" s="29" t="str">
        <f t="shared" si="0"/>
        <v/>
      </c>
      <c r="C77" s="39"/>
      <c r="D77" s="39"/>
      <c r="E77" s="42"/>
      <c r="F77" s="39"/>
      <c r="G77" s="39"/>
      <c r="H77" s="39"/>
      <c r="I77" s="39"/>
      <c r="J77" s="39"/>
      <c r="K77" s="39"/>
      <c r="Z77" s="13"/>
      <c r="AA77" s="13"/>
      <c r="AB77" s="61"/>
      <c r="AC77" s="61"/>
      <c r="AD77" s="61"/>
      <c r="AE77" s="61"/>
      <c r="AF77" s="61"/>
      <c r="AG77" s="61"/>
      <c r="AH77" s="13"/>
      <c r="AI77" s="13"/>
      <c r="AJ77" s="13"/>
    </row>
    <row r="78" spans="1:36" x14ac:dyDescent="0.2">
      <c r="A78" s="59" t="str">
        <f t="shared" si="1"/>
        <v/>
      </c>
      <c r="B78" s="29" t="str">
        <f t="shared" si="0"/>
        <v/>
      </c>
      <c r="C78" s="39"/>
      <c r="D78" s="39"/>
      <c r="E78" s="42"/>
      <c r="F78" s="39"/>
      <c r="G78" s="39"/>
      <c r="H78" s="39"/>
      <c r="I78" s="39"/>
      <c r="J78" s="39"/>
      <c r="K78" s="39"/>
      <c r="Z78" s="13"/>
      <c r="AA78" s="13"/>
      <c r="AB78" s="61"/>
      <c r="AC78" s="61"/>
      <c r="AD78" s="61"/>
      <c r="AE78" s="61"/>
      <c r="AF78" s="61"/>
      <c r="AG78" s="61"/>
      <c r="AH78" s="13"/>
      <c r="AI78" s="13"/>
      <c r="AJ78" s="13"/>
    </row>
    <row r="79" spans="1:36" x14ac:dyDescent="0.2">
      <c r="A79" s="59" t="str">
        <f t="shared" si="1"/>
        <v/>
      </c>
      <c r="B79" s="29" t="str">
        <f t="shared" si="0"/>
        <v/>
      </c>
      <c r="C79" s="39"/>
      <c r="D79" s="39"/>
      <c r="E79" s="42"/>
      <c r="F79" s="39"/>
      <c r="G79" s="39"/>
      <c r="H79" s="39"/>
      <c r="I79" s="39"/>
      <c r="J79" s="39"/>
      <c r="K79" s="39"/>
      <c r="Z79" s="13"/>
      <c r="AA79" s="13"/>
      <c r="AB79" s="61"/>
      <c r="AC79" s="61"/>
      <c r="AD79" s="61"/>
      <c r="AE79" s="61"/>
      <c r="AF79" s="61"/>
      <c r="AG79" s="61"/>
      <c r="AH79" s="13"/>
      <c r="AI79" s="13"/>
      <c r="AJ79" s="13"/>
    </row>
    <row r="80" spans="1:36" x14ac:dyDescent="0.2">
      <c r="A80" s="59" t="str">
        <f t="shared" si="1"/>
        <v/>
      </c>
      <c r="B80" s="29" t="str">
        <f t="shared" si="0"/>
        <v/>
      </c>
      <c r="C80" s="39"/>
      <c r="D80" s="39"/>
      <c r="E80" s="42"/>
      <c r="F80" s="39"/>
      <c r="G80" s="39"/>
      <c r="H80" s="39"/>
      <c r="I80" s="39"/>
      <c r="J80" s="39"/>
      <c r="K80" s="39"/>
      <c r="Z80" s="13"/>
      <c r="AA80" s="13"/>
      <c r="AB80" s="61"/>
      <c r="AC80" s="61"/>
      <c r="AD80" s="61"/>
      <c r="AE80" s="61"/>
      <c r="AF80" s="61"/>
      <c r="AG80" s="61"/>
      <c r="AH80" s="13"/>
      <c r="AI80" s="13"/>
      <c r="AJ80" s="13"/>
    </row>
    <row r="81" spans="1:36" x14ac:dyDescent="0.2">
      <c r="A81" s="59" t="str">
        <f t="shared" si="1"/>
        <v/>
      </c>
      <c r="B81" s="29" t="str">
        <f t="shared" ref="B81:B144" si="2">IF(C81="","",COUNTIF($C$17:$C$217,C81))</f>
        <v/>
      </c>
      <c r="C81" s="39"/>
      <c r="D81" s="39"/>
      <c r="E81" s="42"/>
      <c r="F81" s="39"/>
      <c r="G81" s="39"/>
      <c r="H81" s="39"/>
      <c r="I81" s="39"/>
      <c r="J81" s="39"/>
      <c r="K81" s="39"/>
      <c r="Z81" s="13"/>
      <c r="AA81" s="13"/>
      <c r="AB81" s="61"/>
      <c r="AC81" s="61"/>
      <c r="AD81" s="61"/>
      <c r="AE81" s="61"/>
      <c r="AF81" s="61"/>
      <c r="AG81" s="61"/>
      <c r="AH81" s="13"/>
      <c r="AI81" s="13"/>
      <c r="AJ81" s="13"/>
    </row>
    <row r="82" spans="1:36" x14ac:dyDescent="0.2">
      <c r="A82" s="59" t="str">
        <f t="shared" ref="A82:A145" si="3">C82&amp;D82</f>
        <v/>
      </c>
      <c r="B82" s="29" t="str">
        <f t="shared" si="2"/>
        <v/>
      </c>
      <c r="C82" s="39"/>
      <c r="D82" s="39"/>
      <c r="E82" s="42"/>
      <c r="F82" s="39"/>
      <c r="G82" s="39"/>
      <c r="H82" s="39"/>
      <c r="I82" s="39"/>
      <c r="J82" s="39"/>
      <c r="K82" s="39"/>
      <c r="Z82" s="13"/>
      <c r="AA82" s="13"/>
      <c r="AB82" s="61"/>
      <c r="AC82" s="61"/>
      <c r="AD82" s="61"/>
      <c r="AE82" s="61"/>
      <c r="AF82" s="61"/>
      <c r="AG82" s="61"/>
      <c r="AH82" s="13"/>
      <c r="AI82" s="13"/>
      <c r="AJ82" s="13"/>
    </row>
    <row r="83" spans="1:36" x14ac:dyDescent="0.2">
      <c r="A83" s="59" t="str">
        <f t="shared" si="3"/>
        <v/>
      </c>
      <c r="B83" s="29" t="str">
        <f t="shared" si="2"/>
        <v/>
      </c>
      <c r="C83" s="39"/>
      <c r="D83" s="39"/>
      <c r="E83" s="42"/>
      <c r="F83" s="39"/>
      <c r="G83" s="39"/>
      <c r="H83" s="39"/>
      <c r="I83" s="39"/>
      <c r="J83" s="39"/>
      <c r="K83" s="39"/>
      <c r="Z83" s="13"/>
      <c r="AA83" s="13"/>
      <c r="AB83" s="61"/>
      <c r="AC83" s="61"/>
      <c r="AD83" s="61"/>
      <c r="AE83" s="61"/>
      <c r="AF83" s="61"/>
      <c r="AG83" s="61"/>
      <c r="AH83" s="13"/>
      <c r="AI83" s="13"/>
      <c r="AJ83" s="13"/>
    </row>
    <row r="84" spans="1:36" x14ac:dyDescent="0.2">
      <c r="A84" s="59" t="str">
        <f t="shared" si="3"/>
        <v/>
      </c>
      <c r="B84" s="29" t="str">
        <f t="shared" si="2"/>
        <v/>
      </c>
      <c r="C84" s="39"/>
      <c r="D84" s="39"/>
      <c r="E84" s="42"/>
      <c r="F84" s="39"/>
      <c r="G84" s="39"/>
      <c r="H84" s="39"/>
      <c r="I84" s="39"/>
      <c r="J84" s="39"/>
      <c r="K84" s="39"/>
      <c r="Z84" s="13"/>
      <c r="AA84" s="13"/>
      <c r="AB84" s="61"/>
      <c r="AC84" s="61"/>
      <c r="AD84" s="61"/>
      <c r="AE84" s="61"/>
      <c r="AF84" s="61"/>
      <c r="AG84" s="61"/>
      <c r="AH84" s="13"/>
      <c r="AI84" s="13"/>
      <c r="AJ84" s="13"/>
    </row>
    <row r="85" spans="1:36" x14ac:dyDescent="0.2">
      <c r="A85" s="59" t="str">
        <f t="shared" si="3"/>
        <v/>
      </c>
      <c r="B85" s="29" t="str">
        <f t="shared" si="2"/>
        <v/>
      </c>
      <c r="C85" s="39"/>
      <c r="D85" s="39"/>
      <c r="E85" s="42"/>
      <c r="F85" s="39"/>
      <c r="G85" s="39"/>
      <c r="H85" s="39"/>
      <c r="I85" s="39"/>
      <c r="J85" s="39"/>
      <c r="K85" s="39"/>
      <c r="Z85" s="13"/>
      <c r="AA85" s="13"/>
      <c r="AB85" s="61"/>
      <c r="AC85" s="61"/>
      <c r="AD85" s="61"/>
      <c r="AE85" s="61"/>
      <c r="AF85" s="61"/>
      <c r="AG85" s="61"/>
      <c r="AH85" s="13"/>
      <c r="AI85" s="13"/>
      <c r="AJ85" s="13"/>
    </row>
    <row r="86" spans="1:36" x14ac:dyDescent="0.2">
      <c r="A86" s="59" t="str">
        <f t="shared" si="3"/>
        <v/>
      </c>
      <c r="B86" s="29" t="str">
        <f t="shared" si="2"/>
        <v/>
      </c>
      <c r="C86" s="39"/>
      <c r="D86" s="39"/>
      <c r="E86" s="42"/>
      <c r="F86" s="39"/>
      <c r="G86" s="39"/>
      <c r="H86" s="39"/>
      <c r="I86" s="39"/>
      <c r="J86" s="39"/>
      <c r="K86" s="39"/>
      <c r="Z86" s="13"/>
      <c r="AA86" s="13"/>
      <c r="AB86" s="61"/>
      <c r="AC86" s="61"/>
      <c r="AD86" s="61"/>
      <c r="AE86" s="61"/>
      <c r="AF86" s="61"/>
      <c r="AG86" s="61"/>
      <c r="AH86" s="13"/>
      <c r="AI86" s="13"/>
      <c r="AJ86" s="13"/>
    </row>
    <row r="87" spans="1:36" x14ac:dyDescent="0.2">
      <c r="A87" s="59" t="str">
        <f t="shared" si="3"/>
        <v/>
      </c>
      <c r="B87" s="29" t="str">
        <f t="shared" si="2"/>
        <v/>
      </c>
      <c r="C87" s="39"/>
      <c r="D87" s="39"/>
      <c r="E87" s="42"/>
      <c r="F87" s="39"/>
      <c r="G87" s="39"/>
      <c r="H87" s="39"/>
      <c r="I87" s="39"/>
      <c r="J87" s="39"/>
      <c r="K87" s="39"/>
      <c r="Z87" s="13"/>
      <c r="AA87" s="13"/>
      <c r="AB87" s="61"/>
      <c r="AC87" s="61"/>
      <c r="AD87" s="61"/>
      <c r="AE87" s="61"/>
      <c r="AF87" s="61"/>
      <c r="AG87" s="61"/>
      <c r="AH87" s="13"/>
      <c r="AI87" s="13"/>
      <c r="AJ87" s="13"/>
    </row>
    <row r="88" spans="1:36" x14ac:dyDescent="0.2">
      <c r="A88" s="59" t="str">
        <f t="shared" si="3"/>
        <v/>
      </c>
      <c r="B88" s="29" t="str">
        <f t="shared" si="2"/>
        <v/>
      </c>
      <c r="C88" s="39"/>
      <c r="D88" s="39"/>
      <c r="E88" s="42"/>
      <c r="F88" s="39"/>
      <c r="G88" s="39"/>
      <c r="H88" s="39"/>
      <c r="I88" s="39"/>
      <c r="J88" s="39"/>
      <c r="K88" s="39"/>
      <c r="Z88" s="13"/>
      <c r="AA88" s="13"/>
      <c r="AB88" s="61"/>
      <c r="AC88" s="61"/>
      <c r="AD88" s="61"/>
      <c r="AE88" s="61"/>
      <c r="AF88" s="61"/>
      <c r="AG88" s="61"/>
      <c r="AH88" s="13"/>
      <c r="AI88" s="13"/>
      <c r="AJ88" s="13"/>
    </row>
    <row r="89" spans="1:36" x14ac:dyDescent="0.2">
      <c r="A89" s="59" t="str">
        <f t="shared" si="3"/>
        <v/>
      </c>
      <c r="B89" s="29" t="str">
        <f t="shared" si="2"/>
        <v/>
      </c>
      <c r="C89" s="39"/>
      <c r="D89" s="39"/>
      <c r="E89" s="42"/>
      <c r="F89" s="39"/>
      <c r="G89" s="39"/>
      <c r="H89" s="39"/>
      <c r="I89" s="39"/>
      <c r="J89" s="39"/>
      <c r="K89" s="39"/>
      <c r="Z89" s="13"/>
      <c r="AA89" s="13"/>
      <c r="AB89" s="61"/>
      <c r="AC89" s="61"/>
      <c r="AD89" s="61"/>
      <c r="AE89" s="61"/>
      <c r="AF89" s="61"/>
      <c r="AG89" s="61"/>
      <c r="AH89" s="13"/>
      <c r="AI89" s="13"/>
      <c r="AJ89" s="13"/>
    </row>
    <row r="90" spans="1:36" x14ac:dyDescent="0.2">
      <c r="A90" s="59" t="str">
        <f t="shared" si="3"/>
        <v/>
      </c>
      <c r="B90" s="29" t="str">
        <f t="shared" si="2"/>
        <v/>
      </c>
      <c r="C90" s="39"/>
      <c r="D90" s="39"/>
      <c r="E90" s="42"/>
      <c r="F90" s="39"/>
      <c r="G90" s="39"/>
      <c r="H90" s="39"/>
      <c r="I90" s="39"/>
      <c r="J90" s="39"/>
      <c r="K90" s="39"/>
      <c r="Z90" s="13"/>
      <c r="AA90" s="13"/>
      <c r="AB90" s="13"/>
      <c r="AC90" s="61"/>
      <c r="AD90" s="61"/>
      <c r="AE90" s="61"/>
      <c r="AF90" s="61"/>
      <c r="AG90" s="61"/>
      <c r="AH90" s="13"/>
      <c r="AI90" s="13"/>
      <c r="AJ90" s="13"/>
    </row>
    <row r="91" spans="1:36" x14ac:dyDescent="0.2">
      <c r="A91" s="59" t="str">
        <f t="shared" si="3"/>
        <v/>
      </c>
      <c r="B91" s="29" t="str">
        <f t="shared" si="2"/>
        <v/>
      </c>
      <c r="C91" s="39"/>
      <c r="D91" s="39"/>
      <c r="E91" s="42"/>
      <c r="F91" s="39"/>
      <c r="G91" s="39"/>
      <c r="H91" s="39"/>
      <c r="I91" s="39"/>
      <c r="J91" s="39"/>
      <c r="K91" s="39"/>
      <c r="Z91" s="13"/>
      <c r="AA91" s="13"/>
      <c r="AB91" s="13"/>
      <c r="AC91" s="61"/>
      <c r="AD91" s="61"/>
      <c r="AE91" s="61"/>
      <c r="AF91" s="61"/>
      <c r="AG91" s="61"/>
      <c r="AH91" s="13"/>
      <c r="AI91" s="13"/>
      <c r="AJ91" s="13"/>
    </row>
    <row r="92" spans="1:36" x14ac:dyDescent="0.2">
      <c r="A92" s="59" t="str">
        <f t="shared" si="3"/>
        <v/>
      </c>
      <c r="B92" s="29" t="str">
        <f t="shared" si="2"/>
        <v/>
      </c>
      <c r="C92" s="39"/>
      <c r="D92" s="39"/>
      <c r="E92" s="42"/>
      <c r="F92" s="39"/>
      <c r="G92" s="39"/>
      <c r="H92" s="39"/>
      <c r="I92" s="39"/>
      <c r="J92" s="39"/>
      <c r="K92" s="39"/>
      <c r="Z92" s="13"/>
      <c r="AA92" s="13"/>
      <c r="AB92" s="13"/>
      <c r="AC92" s="61"/>
      <c r="AD92" s="61"/>
      <c r="AE92" s="61"/>
      <c r="AF92" s="61"/>
      <c r="AG92" s="61"/>
      <c r="AH92" s="13"/>
      <c r="AI92" s="13"/>
      <c r="AJ92" s="13"/>
    </row>
    <row r="93" spans="1:36" x14ac:dyDescent="0.2">
      <c r="A93" s="59" t="str">
        <f t="shared" si="3"/>
        <v/>
      </c>
      <c r="B93" s="29" t="str">
        <f t="shared" si="2"/>
        <v/>
      </c>
      <c r="C93" s="39"/>
      <c r="D93" s="39"/>
      <c r="E93" s="42"/>
      <c r="F93" s="39"/>
      <c r="G93" s="39"/>
      <c r="H93" s="39"/>
      <c r="I93" s="39"/>
      <c r="J93" s="39"/>
      <c r="K93" s="39"/>
      <c r="Z93" s="13"/>
      <c r="AA93" s="13"/>
      <c r="AB93" s="13"/>
      <c r="AC93" s="61"/>
      <c r="AD93" s="61"/>
      <c r="AE93" s="61"/>
      <c r="AF93" s="61"/>
      <c r="AG93" s="61"/>
      <c r="AH93" s="13"/>
      <c r="AI93" s="13"/>
      <c r="AJ93" s="13"/>
    </row>
    <row r="94" spans="1:36" x14ac:dyDescent="0.2">
      <c r="A94" s="59" t="str">
        <f t="shared" si="3"/>
        <v/>
      </c>
      <c r="B94" s="29" t="str">
        <f t="shared" si="2"/>
        <v/>
      </c>
      <c r="C94" s="39"/>
      <c r="D94" s="39"/>
      <c r="E94" s="42"/>
      <c r="F94" s="39"/>
      <c r="G94" s="39"/>
      <c r="H94" s="39"/>
      <c r="I94" s="39"/>
      <c r="J94" s="39"/>
      <c r="K94" s="39"/>
      <c r="Z94" s="13"/>
      <c r="AA94" s="13"/>
      <c r="AB94" s="13"/>
      <c r="AC94" s="61"/>
      <c r="AD94" s="61"/>
      <c r="AE94" s="61"/>
      <c r="AF94" s="61"/>
      <c r="AG94" s="61"/>
      <c r="AH94" s="13"/>
      <c r="AI94" s="13"/>
      <c r="AJ94" s="13"/>
    </row>
    <row r="95" spans="1:36" x14ac:dyDescent="0.2">
      <c r="A95" s="59" t="str">
        <f t="shared" si="3"/>
        <v/>
      </c>
      <c r="B95" s="29" t="str">
        <f t="shared" si="2"/>
        <v/>
      </c>
      <c r="C95" s="39"/>
      <c r="D95" s="39"/>
      <c r="E95" s="42"/>
      <c r="F95" s="39"/>
      <c r="G95" s="39"/>
      <c r="H95" s="39"/>
      <c r="I95" s="39"/>
      <c r="J95" s="39"/>
      <c r="K95" s="39"/>
      <c r="Z95" s="13"/>
      <c r="AA95" s="13"/>
      <c r="AB95" s="13"/>
      <c r="AC95" s="61"/>
      <c r="AD95" s="61"/>
      <c r="AE95" s="61"/>
      <c r="AF95" s="61"/>
      <c r="AG95" s="61"/>
      <c r="AH95" s="13"/>
      <c r="AI95" s="13"/>
      <c r="AJ95" s="13"/>
    </row>
    <row r="96" spans="1:36" x14ac:dyDescent="0.2">
      <c r="A96" s="59" t="str">
        <f t="shared" si="3"/>
        <v/>
      </c>
      <c r="B96" s="29" t="str">
        <f t="shared" si="2"/>
        <v/>
      </c>
      <c r="C96" s="39"/>
      <c r="D96" s="39"/>
      <c r="E96" s="42"/>
      <c r="F96" s="39"/>
      <c r="G96" s="39"/>
      <c r="H96" s="39"/>
      <c r="I96" s="39"/>
      <c r="J96" s="39"/>
      <c r="K96" s="39"/>
      <c r="Z96" s="13"/>
      <c r="AA96" s="13"/>
      <c r="AB96" s="13"/>
      <c r="AC96" s="61"/>
      <c r="AD96" s="61"/>
      <c r="AE96" s="61"/>
      <c r="AF96" s="61"/>
      <c r="AG96" s="61"/>
      <c r="AH96" s="13"/>
      <c r="AI96" s="13"/>
      <c r="AJ96" s="13"/>
    </row>
    <row r="97" spans="1:36" x14ac:dyDescent="0.2">
      <c r="A97" s="59" t="str">
        <f t="shared" si="3"/>
        <v/>
      </c>
      <c r="B97" s="29" t="str">
        <f t="shared" si="2"/>
        <v/>
      </c>
      <c r="C97" s="39"/>
      <c r="D97" s="39"/>
      <c r="E97" s="42"/>
      <c r="F97" s="39"/>
      <c r="G97" s="39"/>
      <c r="H97" s="39"/>
      <c r="I97" s="39"/>
      <c r="J97" s="39"/>
      <c r="K97" s="39"/>
      <c r="Z97" s="13"/>
      <c r="AA97" s="13"/>
      <c r="AB97" s="13"/>
      <c r="AC97" s="61"/>
      <c r="AD97" s="61"/>
      <c r="AE97" s="61"/>
      <c r="AF97" s="61"/>
      <c r="AG97" s="61"/>
      <c r="AH97" s="13"/>
      <c r="AI97" s="13"/>
      <c r="AJ97" s="13"/>
    </row>
    <row r="98" spans="1:36" x14ac:dyDescent="0.2">
      <c r="A98" s="59" t="str">
        <f t="shared" si="3"/>
        <v/>
      </c>
      <c r="B98" s="29" t="str">
        <f t="shared" si="2"/>
        <v/>
      </c>
      <c r="C98" s="39"/>
      <c r="D98" s="39"/>
      <c r="E98" s="42"/>
      <c r="F98" s="39"/>
      <c r="G98" s="39"/>
      <c r="H98" s="39"/>
      <c r="I98" s="39"/>
      <c r="J98" s="39"/>
      <c r="K98" s="39"/>
      <c r="Z98" s="13"/>
      <c r="AA98" s="13"/>
      <c r="AB98" s="13"/>
      <c r="AC98" s="61"/>
      <c r="AD98" s="61"/>
      <c r="AE98" s="61"/>
      <c r="AF98" s="61"/>
      <c r="AG98" s="61"/>
      <c r="AH98" s="13"/>
      <c r="AI98" s="13"/>
      <c r="AJ98" s="13"/>
    </row>
    <row r="99" spans="1:36" x14ac:dyDescent="0.2">
      <c r="A99" s="59" t="str">
        <f t="shared" si="3"/>
        <v/>
      </c>
      <c r="B99" s="29" t="str">
        <f t="shared" si="2"/>
        <v/>
      </c>
      <c r="C99" s="39"/>
      <c r="D99" s="39"/>
      <c r="E99" s="42"/>
      <c r="F99" s="39"/>
      <c r="G99" s="39"/>
      <c r="H99" s="39"/>
      <c r="I99" s="39"/>
      <c r="J99" s="39"/>
      <c r="K99" s="39"/>
      <c r="Z99" s="13"/>
      <c r="AA99" s="13"/>
      <c r="AB99" s="13"/>
      <c r="AC99" s="61"/>
      <c r="AD99" s="61"/>
      <c r="AE99" s="61"/>
      <c r="AF99" s="61"/>
      <c r="AG99" s="61"/>
      <c r="AH99" s="13"/>
      <c r="AI99" s="13"/>
      <c r="AJ99" s="13"/>
    </row>
    <row r="100" spans="1:36" x14ac:dyDescent="0.2">
      <c r="A100" s="59" t="str">
        <f t="shared" si="3"/>
        <v/>
      </c>
      <c r="B100" s="29" t="str">
        <f t="shared" si="2"/>
        <v/>
      </c>
      <c r="C100" s="39"/>
      <c r="D100" s="39"/>
      <c r="E100" s="42"/>
      <c r="F100" s="39"/>
      <c r="G100" s="39"/>
      <c r="H100" s="39"/>
      <c r="I100" s="39"/>
      <c r="J100" s="39"/>
      <c r="K100" s="39"/>
      <c r="Z100" s="13"/>
      <c r="AA100" s="13"/>
      <c r="AB100" s="13"/>
      <c r="AC100" s="61"/>
      <c r="AD100" s="61"/>
      <c r="AE100" s="61"/>
      <c r="AF100" s="61"/>
      <c r="AG100" s="61"/>
      <c r="AH100" s="13"/>
      <c r="AI100" s="13"/>
      <c r="AJ100" s="13"/>
    </row>
    <row r="101" spans="1:36" x14ac:dyDescent="0.2">
      <c r="A101" s="59" t="str">
        <f t="shared" si="3"/>
        <v/>
      </c>
      <c r="B101" s="29" t="str">
        <f t="shared" si="2"/>
        <v/>
      </c>
      <c r="C101" s="39"/>
      <c r="D101" s="39"/>
      <c r="E101" s="42"/>
      <c r="F101" s="39"/>
      <c r="G101" s="39"/>
      <c r="H101" s="39"/>
      <c r="I101" s="39"/>
      <c r="J101" s="39"/>
      <c r="K101" s="39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</row>
    <row r="102" spans="1:36" x14ac:dyDescent="0.2">
      <c r="A102" s="59" t="str">
        <f t="shared" si="3"/>
        <v/>
      </c>
      <c r="B102" s="29" t="str">
        <f t="shared" si="2"/>
        <v/>
      </c>
      <c r="C102" s="39"/>
      <c r="D102" s="39"/>
      <c r="E102" s="42"/>
      <c r="F102" s="39"/>
      <c r="G102" s="39"/>
      <c r="H102" s="39"/>
      <c r="I102" s="39"/>
      <c r="J102" s="39"/>
      <c r="K102" s="39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</row>
    <row r="103" spans="1:36" x14ac:dyDescent="0.2">
      <c r="A103" s="59" t="str">
        <f t="shared" si="3"/>
        <v/>
      </c>
      <c r="B103" s="29" t="str">
        <f t="shared" si="2"/>
        <v/>
      </c>
      <c r="C103" s="39"/>
      <c r="D103" s="39"/>
      <c r="E103" s="42"/>
      <c r="F103" s="39"/>
      <c r="G103" s="39"/>
      <c r="H103" s="39"/>
      <c r="I103" s="39"/>
      <c r="J103" s="39"/>
      <c r="K103" s="39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</row>
    <row r="104" spans="1:36" x14ac:dyDescent="0.2">
      <c r="A104" s="59" t="str">
        <f t="shared" si="3"/>
        <v/>
      </c>
      <c r="B104" s="29" t="str">
        <f t="shared" si="2"/>
        <v/>
      </c>
      <c r="C104" s="39"/>
      <c r="D104" s="39"/>
      <c r="E104" s="42"/>
      <c r="F104" s="39"/>
      <c r="G104" s="39"/>
      <c r="H104" s="39"/>
      <c r="I104" s="39"/>
      <c r="J104" s="39"/>
      <c r="K104" s="39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</row>
    <row r="105" spans="1:36" x14ac:dyDescent="0.2">
      <c r="A105" s="59" t="str">
        <f t="shared" si="3"/>
        <v/>
      </c>
      <c r="B105" s="29" t="str">
        <f t="shared" si="2"/>
        <v/>
      </c>
      <c r="C105" s="39"/>
      <c r="D105" s="39"/>
      <c r="E105" s="42"/>
      <c r="F105" s="39"/>
      <c r="G105" s="39"/>
      <c r="H105" s="39"/>
      <c r="I105" s="39"/>
      <c r="J105" s="39"/>
      <c r="K105" s="39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</row>
    <row r="106" spans="1:36" x14ac:dyDescent="0.2">
      <c r="A106" s="59" t="str">
        <f t="shared" si="3"/>
        <v/>
      </c>
      <c r="B106" s="29" t="str">
        <f t="shared" si="2"/>
        <v/>
      </c>
      <c r="C106" s="39"/>
      <c r="D106" s="39"/>
      <c r="E106" s="42"/>
      <c r="F106" s="39"/>
      <c r="G106" s="39"/>
      <c r="H106" s="39"/>
      <c r="I106" s="39"/>
      <c r="J106" s="39"/>
      <c r="K106" s="39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</row>
    <row r="107" spans="1:36" x14ac:dyDescent="0.2">
      <c r="A107" s="59" t="str">
        <f t="shared" si="3"/>
        <v/>
      </c>
      <c r="B107" s="29" t="str">
        <f t="shared" si="2"/>
        <v/>
      </c>
      <c r="C107" s="39"/>
      <c r="D107" s="39"/>
      <c r="E107" s="42"/>
      <c r="F107" s="39"/>
      <c r="G107" s="39"/>
      <c r="H107" s="39"/>
      <c r="I107" s="39"/>
      <c r="J107" s="39"/>
      <c r="K107" s="39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</row>
    <row r="108" spans="1:36" x14ac:dyDescent="0.2">
      <c r="A108" s="59" t="str">
        <f t="shared" si="3"/>
        <v/>
      </c>
      <c r="B108" s="29" t="str">
        <f t="shared" si="2"/>
        <v/>
      </c>
      <c r="C108" s="39"/>
      <c r="D108" s="39"/>
      <c r="E108" s="42"/>
      <c r="F108" s="39"/>
      <c r="G108" s="39"/>
      <c r="H108" s="39"/>
      <c r="I108" s="39"/>
      <c r="J108" s="39"/>
      <c r="K108" s="39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</row>
    <row r="109" spans="1:36" x14ac:dyDescent="0.2">
      <c r="A109" s="59" t="str">
        <f t="shared" si="3"/>
        <v/>
      </c>
      <c r="B109" s="29" t="str">
        <f t="shared" si="2"/>
        <v/>
      </c>
      <c r="C109" s="39"/>
      <c r="D109" s="39"/>
      <c r="E109" s="42"/>
      <c r="F109" s="39"/>
      <c r="G109" s="39"/>
      <c r="H109" s="39"/>
      <c r="I109" s="39"/>
      <c r="J109" s="39"/>
      <c r="K109" s="39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</row>
    <row r="110" spans="1:36" x14ac:dyDescent="0.2">
      <c r="A110" s="59" t="str">
        <f t="shared" si="3"/>
        <v/>
      </c>
      <c r="B110" s="29" t="str">
        <f t="shared" si="2"/>
        <v/>
      </c>
      <c r="C110" s="39"/>
      <c r="D110" s="39"/>
      <c r="E110" s="42"/>
      <c r="F110" s="39"/>
      <c r="G110" s="39"/>
      <c r="H110" s="39"/>
      <c r="I110" s="39"/>
      <c r="J110" s="39"/>
      <c r="K110" s="39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</row>
    <row r="111" spans="1:36" x14ac:dyDescent="0.2">
      <c r="A111" s="59" t="str">
        <f t="shared" si="3"/>
        <v/>
      </c>
      <c r="B111" s="29" t="str">
        <f t="shared" si="2"/>
        <v/>
      </c>
      <c r="C111" s="39"/>
      <c r="D111" s="39"/>
      <c r="E111" s="42"/>
      <c r="F111" s="39"/>
      <c r="G111" s="39"/>
      <c r="H111" s="39"/>
      <c r="I111" s="39"/>
      <c r="J111" s="39"/>
      <c r="K111" s="39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</row>
    <row r="112" spans="1:36" x14ac:dyDescent="0.2">
      <c r="A112" s="59" t="str">
        <f t="shared" si="3"/>
        <v/>
      </c>
      <c r="B112" s="29" t="str">
        <f t="shared" si="2"/>
        <v/>
      </c>
      <c r="C112" s="39"/>
      <c r="D112" s="39"/>
      <c r="E112" s="42"/>
      <c r="F112" s="39"/>
      <c r="G112" s="39"/>
      <c r="H112" s="39"/>
      <c r="I112" s="39"/>
      <c r="J112" s="39"/>
      <c r="K112" s="39"/>
    </row>
    <row r="113" spans="1:11" x14ac:dyDescent="0.2">
      <c r="A113" s="59" t="str">
        <f t="shared" si="3"/>
        <v/>
      </c>
      <c r="B113" s="29" t="str">
        <f t="shared" si="2"/>
        <v/>
      </c>
      <c r="C113" s="39"/>
      <c r="D113" s="39"/>
      <c r="E113" s="42"/>
      <c r="F113" s="39"/>
      <c r="G113" s="39"/>
      <c r="H113" s="39"/>
      <c r="I113" s="39"/>
      <c r="J113" s="39"/>
      <c r="K113" s="39"/>
    </row>
    <row r="114" spans="1:11" x14ac:dyDescent="0.2">
      <c r="A114" s="59" t="str">
        <f t="shared" si="3"/>
        <v/>
      </c>
      <c r="B114" s="29" t="str">
        <f t="shared" si="2"/>
        <v/>
      </c>
      <c r="C114" s="39"/>
      <c r="D114" s="39"/>
      <c r="E114" s="42"/>
      <c r="F114" s="39"/>
      <c r="G114" s="39"/>
      <c r="H114" s="39"/>
      <c r="I114" s="39"/>
      <c r="J114" s="39"/>
      <c r="K114" s="39"/>
    </row>
    <row r="115" spans="1:11" x14ac:dyDescent="0.2">
      <c r="A115" s="59" t="str">
        <f t="shared" si="3"/>
        <v/>
      </c>
      <c r="B115" s="29" t="str">
        <f t="shared" si="2"/>
        <v/>
      </c>
      <c r="C115" s="39"/>
      <c r="D115" s="39"/>
      <c r="E115" s="42"/>
      <c r="F115" s="39"/>
      <c r="G115" s="39"/>
      <c r="H115" s="39"/>
      <c r="I115" s="39"/>
      <c r="J115" s="39"/>
      <c r="K115" s="39"/>
    </row>
    <row r="116" spans="1:11" x14ac:dyDescent="0.2">
      <c r="A116" s="59" t="str">
        <f t="shared" si="3"/>
        <v/>
      </c>
      <c r="B116" s="29" t="str">
        <f t="shared" si="2"/>
        <v/>
      </c>
      <c r="C116" s="39"/>
      <c r="D116" s="39"/>
      <c r="E116" s="42"/>
      <c r="F116" s="39"/>
      <c r="G116" s="39"/>
      <c r="H116" s="39"/>
      <c r="I116" s="39"/>
      <c r="J116" s="39"/>
      <c r="K116" s="39"/>
    </row>
    <row r="117" spans="1:11" x14ac:dyDescent="0.2">
      <c r="A117" s="59" t="str">
        <f t="shared" si="3"/>
        <v/>
      </c>
      <c r="B117" s="29" t="str">
        <f t="shared" si="2"/>
        <v/>
      </c>
      <c r="C117" s="39"/>
      <c r="D117" s="39"/>
      <c r="E117" s="42"/>
      <c r="F117" s="39"/>
      <c r="G117" s="39"/>
      <c r="H117" s="39"/>
      <c r="I117" s="39"/>
      <c r="J117" s="39"/>
      <c r="K117" s="39"/>
    </row>
    <row r="118" spans="1:11" x14ac:dyDescent="0.2">
      <c r="A118" s="59" t="str">
        <f t="shared" si="3"/>
        <v/>
      </c>
      <c r="B118" s="29" t="str">
        <f t="shared" si="2"/>
        <v/>
      </c>
      <c r="C118" s="39"/>
      <c r="D118" s="39"/>
      <c r="E118" s="42"/>
      <c r="F118" s="39"/>
      <c r="G118" s="39"/>
      <c r="H118" s="39"/>
      <c r="I118" s="39"/>
      <c r="J118" s="39"/>
      <c r="K118" s="39"/>
    </row>
    <row r="119" spans="1:11" x14ac:dyDescent="0.2">
      <c r="A119" s="59" t="str">
        <f t="shared" si="3"/>
        <v/>
      </c>
      <c r="B119" s="29" t="str">
        <f t="shared" si="2"/>
        <v/>
      </c>
      <c r="C119" s="39"/>
      <c r="D119" s="39"/>
      <c r="E119" s="42"/>
      <c r="F119" s="39"/>
      <c r="G119" s="39"/>
      <c r="H119" s="39"/>
      <c r="I119" s="39"/>
      <c r="J119" s="39"/>
      <c r="K119" s="39"/>
    </row>
    <row r="120" spans="1:11" x14ac:dyDescent="0.2">
      <c r="A120" s="59" t="str">
        <f t="shared" si="3"/>
        <v/>
      </c>
      <c r="B120" s="29" t="str">
        <f t="shared" si="2"/>
        <v/>
      </c>
      <c r="C120" s="39"/>
      <c r="D120" s="39"/>
      <c r="E120" s="42"/>
      <c r="F120" s="39"/>
      <c r="G120" s="39"/>
      <c r="H120" s="39"/>
      <c r="I120" s="39"/>
      <c r="J120" s="39"/>
      <c r="K120" s="39"/>
    </row>
    <row r="121" spans="1:11" x14ac:dyDescent="0.2">
      <c r="A121" s="59" t="str">
        <f t="shared" si="3"/>
        <v/>
      </c>
      <c r="B121" s="29" t="str">
        <f t="shared" si="2"/>
        <v/>
      </c>
      <c r="C121" s="39"/>
      <c r="D121" s="39"/>
      <c r="E121" s="42"/>
      <c r="F121" s="39"/>
      <c r="G121" s="39"/>
      <c r="H121" s="39"/>
      <c r="I121" s="39"/>
      <c r="J121" s="39"/>
      <c r="K121" s="39"/>
    </row>
    <row r="122" spans="1:11" x14ac:dyDescent="0.2">
      <c r="A122" s="59" t="str">
        <f t="shared" si="3"/>
        <v/>
      </c>
      <c r="B122" s="29" t="str">
        <f t="shared" si="2"/>
        <v/>
      </c>
      <c r="C122" s="39"/>
      <c r="D122" s="39"/>
      <c r="E122" s="42"/>
      <c r="F122" s="39"/>
      <c r="G122" s="39"/>
      <c r="H122" s="39"/>
      <c r="I122" s="39"/>
      <c r="J122" s="39"/>
      <c r="K122" s="39"/>
    </row>
    <row r="123" spans="1:11" x14ac:dyDescent="0.2">
      <c r="A123" s="59" t="str">
        <f t="shared" si="3"/>
        <v/>
      </c>
      <c r="B123" s="29" t="str">
        <f t="shared" si="2"/>
        <v/>
      </c>
      <c r="C123" s="39"/>
      <c r="D123" s="39"/>
      <c r="E123" s="42"/>
      <c r="F123" s="39"/>
      <c r="G123" s="39"/>
      <c r="H123" s="39"/>
      <c r="I123" s="39"/>
      <c r="J123" s="39"/>
      <c r="K123" s="39"/>
    </row>
    <row r="124" spans="1:11" x14ac:dyDescent="0.2">
      <c r="A124" s="59" t="str">
        <f t="shared" si="3"/>
        <v/>
      </c>
      <c r="B124" s="29" t="str">
        <f t="shared" si="2"/>
        <v/>
      </c>
      <c r="C124" s="39"/>
      <c r="D124" s="39"/>
      <c r="E124" s="42"/>
      <c r="F124" s="39"/>
      <c r="G124" s="39"/>
      <c r="H124" s="39"/>
      <c r="I124" s="39"/>
      <c r="J124" s="39"/>
      <c r="K124" s="39"/>
    </row>
    <row r="125" spans="1:11" x14ac:dyDescent="0.2">
      <c r="A125" s="59" t="str">
        <f t="shared" si="3"/>
        <v/>
      </c>
      <c r="B125" s="29" t="str">
        <f t="shared" si="2"/>
        <v/>
      </c>
      <c r="C125" s="39"/>
      <c r="D125" s="39"/>
      <c r="E125" s="42"/>
      <c r="F125" s="39"/>
      <c r="G125" s="39"/>
      <c r="H125" s="39"/>
      <c r="I125" s="39"/>
      <c r="J125" s="39"/>
      <c r="K125" s="39"/>
    </row>
    <row r="126" spans="1:11" x14ac:dyDescent="0.2">
      <c r="A126" s="59" t="str">
        <f t="shared" si="3"/>
        <v/>
      </c>
      <c r="B126" s="29" t="str">
        <f t="shared" si="2"/>
        <v/>
      </c>
      <c r="C126" s="39"/>
      <c r="D126" s="39"/>
      <c r="E126" s="42"/>
      <c r="F126" s="39"/>
      <c r="G126" s="39"/>
      <c r="H126" s="39"/>
      <c r="I126" s="39"/>
      <c r="J126" s="39"/>
      <c r="K126" s="39"/>
    </row>
    <row r="127" spans="1:11" x14ac:dyDescent="0.2">
      <c r="A127" s="59" t="str">
        <f t="shared" si="3"/>
        <v/>
      </c>
      <c r="B127" s="29" t="str">
        <f t="shared" si="2"/>
        <v/>
      </c>
      <c r="C127" s="39"/>
      <c r="D127" s="39"/>
      <c r="E127" s="42"/>
      <c r="F127" s="39"/>
      <c r="G127" s="39"/>
      <c r="H127" s="39"/>
      <c r="I127" s="39"/>
      <c r="J127" s="39"/>
      <c r="K127" s="39"/>
    </row>
    <row r="128" spans="1:11" x14ac:dyDescent="0.2">
      <c r="A128" s="59" t="str">
        <f t="shared" si="3"/>
        <v/>
      </c>
      <c r="B128" s="29" t="str">
        <f t="shared" si="2"/>
        <v/>
      </c>
      <c r="C128" s="39"/>
      <c r="D128" s="39"/>
      <c r="E128" s="42"/>
      <c r="F128" s="39"/>
      <c r="G128" s="39"/>
      <c r="H128" s="39"/>
      <c r="I128" s="39"/>
      <c r="J128" s="39"/>
      <c r="K128" s="39"/>
    </row>
    <row r="129" spans="1:11" x14ac:dyDescent="0.2">
      <c r="A129" s="59" t="str">
        <f t="shared" si="3"/>
        <v/>
      </c>
      <c r="B129" s="29" t="str">
        <f t="shared" si="2"/>
        <v/>
      </c>
      <c r="C129" s="39"/>
      <c r="D129" s="39"/>
      <c r="E129" s="42"/>
      <c r="F129" s="39"/>
      <c r="G129" s="39"/>
      <c r="H129" s="39"/>
      <c r="I129" s="39"/>
      <c r="J129" s="39"/>
      <c r="K129" s="39"/>
    </row>
    <row r="130" spans="1:11" x14ac:dyDescent="0.2">
      <c r="A130" s="59" t="str">
        <f t="shared" si="3"/>
        <v/>
      </c>
      <c r="B130" s="29" t="str">
        <f t="shared" si="2"/>
        <v/>
      </c>
      <c r="C130" s="39"/>
      <c r="D130" s="39"/>
      <c r="E130" s="42"/>
      <c r="F130" s="39"/>
      <c r="G130" s="39"/>
      <c r="H130" s="39"/>
      <c r="I130" s="39"/>
      <c r="J130" s="39"/>
      <c r="K130" s="39"/>
    </row>
    <row r="131" spans="1:11" x14ac:dyDescent="0.2">
      <c r="A131" s="59" t="str">
        <f t="shared" si="3"/>
        <v/>
      </c>
      <c r="B131" s="29" t="str">
        <f t="shared" si="2"/>
        <v/>
      </c>
      <c r="C131" s="39"/>
      <c r="D131" s="39"/>
      <c r="E131" s="42"/>
      <c r="F131" s="39"/>
      <c r="G131" s="39"/>
      <c r="H131" s="39"/>
      <c r="I131" s="39"/>
      <c r="J131" s="39"/>
      <c r="K131" s="39"/>
    </row>
    <row r="132" spans="1:11" x14ac:dyDescent="0.2">
      <c r="A132" s="59" t="str">
        <f t="shared" si="3"/>
        <v/>
      </c>
      <c r="B132" s="29" t="str">
        <f t="shared" si="2"/>
        <v/>
      </c>
      <c r="C132" s="39"/>
      <c r="D132" s="39"/>
      <c r="E132" s="42"/>
      <c r="F132" s="39"/>
      <c r="G132" s="39"/>
      <c r="H132" s="39"/>
      <c r="I132" s="39"/>
      <c r="J132" s="39"/>
      <c r="K132" s="39"/>
    </row>
    <row r="133" spans="1:11" x14ac:dyDescent="0.2">
      <c r="A133" s="59" t="str">
        <f t="shared" si="3"/>
        <v/>
      </c>
      <c r="B133" s="29" t="str">
        <f t="shared" si="2"/>
        <v/>
      </c>
      <c r="C133" s="39"/>
      <c r="D133" s="39"/>
      <c r="E133" s="42"/>
      <c r="F133" s="39"/>
      <c r="G133" s="39"/>
      <c r="H133" s="39"/>
      <c r="I133" s="39"/>
      <c r="J133" s="39"/>
      <c r="K133" s="39"/>
    </row>
    <row r="134" spans="1:11" x14ac:dyDescent="0.2">
      <c r="A134" s="59" t="str">
        <f t="shared" si="3"/>
        <v/>
      </c>
      <c r="B134" s="29" t="str">
        <f t="shared" si="2"/>
        <v/>
      </c>
      <c r="C134" s="39"/>
      <c r="D134" s="39"/>
      <c r="E134" s="42"/>
      <c r="F134" s="39"/>
      <c r="G134" s="39"/>
      <c r="H134" s="39"/>
      <c r="I134" s="39"/>
      <c r="J134" s="39"/>
      <c r="K134" s="39"/>
    </row>
    <row r="135" spans="1:11" x14ac:dyDescent="0.2">
      <c r="A135" s="59" t="str">
        <f t="shared" si="3"/>
        <v/>
      </c>
      <c r="B135" s="29" t="str">
        <f t="shared" si="2"/>
        <v/>
      </c>
      <c r="C135" s="39"/>
      <c r="D135" s="39"/>
      <c r="E135" s="42"/>
      <c r="F135" s="39"/>
      <c r="G135" s="39"/>
      <c r="H135" s="39"/>
      <c r="I135" s="39"/>
      <c r="J135" s="39"/>
      <c r="K135" s="39"/>
    </row>
    <row r="136" spans="1:11" x14ac:dyDescent="0.2">
      <c r="A136" s="59" t="str">
        <f t="shared" si="3"/>
        <v/>
      </c>
      <c r="B136" s="29" t="str">
        <f t="shared" si="2"/>
        <v/>
      </c>
      <c r="C136" s="39"/>
      <c r="D136" s="39"/>
      <c r="E136" s="42"/>
      <c r="F136" s="39"/>
      <c r="G136" s="39"/>
      <c r="H136" s="39"/>
      <c r="I136" s="39"/>
      <c r="J136" s="39"/>
      <c r="K136" s="39"/>
    </row>
    <row r="137" spans="1:11" x14ac:dyDescent="0.2">
      <c r="A137" s="59" t="str">
        <f t="shared" si="3"/>
        <v/>
      </c>
      <c r="B137" s="29" t="str">
        <f t="shared" si="2"/>
        <v/>
      </c>
      <c r="C137" s="39"/>
      <c r="D137" s="39"/>
      <c r="E137" s="42"/>
      <c r="F137" s="39"/>
      <c r="G137" s="39"/>
      <c r="H137" s="39"/>
      <c r="I137" s="39"/>
      <c r="J137" s="39"/>
      <c r="K137" s="39"/>
    </row>
    <row r="138" spans="1:11" x14ac:dyDescent="0.2">
      <c r="A138" s="59" t="str">
        <f t="shared" si="3"/>
        <v/>
      </c>
      <c r="B138" s="29" t="str">
        <f t="shared" si="2"/>
        <v/>
      </c>
      <c r="C138" s="39"/>
      <c r="D138" s="39"/>
      <c r="E138" s="42"/>
      <c r="F138" s="39"/>
      <c r="G138" s="39"/>
      <c r="H138" s="39"/>
      <c r="I138" s="39"/>
      <c r="J138" s="39"/>
      <c r="K138" s="39"/>
    </row>
    <row r="139" spans="1:11" x14ac:dyDescent="0.2">
      <c r="A139" s="59" t="str">
        <f t="shared" si="3"/>
        <v/>
      </c>
      <c r="B139" s="29" t="str">
        <f t="shared" si="2"/>
        <v/>
      </c>
      <c r="C139" s="39"/>
      <c r="D139" s="39"/>
      <c r="E139" s="42"/>
      <c r="F139" s="39"/>
      <c r="G139" s="39"/>
      <c r="H139" s="39"/>
      <c r="I139" s="39"/>
      <c r="J139" s="39"/>
      <c r="K139" s="39"/>
    </row>
    <row r="140" spans="1:11" x14ac:dyDescent="0.2">
      <c r="A140" s="59" t="str">
        <f t="shared" si="3"/>
        <v/>
      </c>
      <c r="B140" s="29" t="str">
        <f t="shared" si="2"/>
        <v/>
      </c>
      <c r="C140" s="39"/>
      <c r="D140" s="39"/>
      <c r="E140" s="42"/>
      <c r="F140" s="39"/>
      <c r="G140" s="39"/>
      <c r="H140" s="39"/>
      <c r="I140" s="39"/>
      <c r="J140" s="39"/>
      <c r="K140" s="39"/>
    </row>
    <row r="141" spans="1:11" x14ac:dyDescent="0.2">
      <c r="A141" s="59" t="str">
        <f t="shared" si="3"/>
        <v/>
      </c>
      <c r="B141" s="29" t="str">
        <f t="shared" si="2"/>
        <v/>
      </c>
      <c r="C141" s="39"/>
      <c r="D141" s="39"/>
      <c r="E141" s="42"/>
      <c r="F141" s="39"/>
      <c r="G141" s="39"/>
      <c r="H141" s="39"/>
      <c r="I141" s="39"/>
      <c r="J141" s="39"/>
      <c r="K141" s="39"/>
    </row>
    <row r="142" spans="1:11" x14ac:dyDescent="0.2">
      <c r="A142" s="59" t="str">
        <f t="shared" si="3"/>
        <v/>
      </c>
      <c r="B142" s="29" t="str">
        <f t="shared" si="2"/>
        <v/>
      </c>
      <c r="C142" s="39"/>
      <c r="D142" s="39"/>
      <c r="E142" s="42"/>
      <c r="F142" s="39"/>
      <c r="G142" s="39"/>
      <c r="H142" s="39"/>
      <c r="I142" s="39"/>
      <c r="J142" s="39"/>
      <c r="K142" s="39"/>
    </row>
    <row r="143" spans="1:11" x14ac:dyDescent="0.2">
      <c r="A143" s="59" t="str">
        <f t="shared" si="3"/>
        <v/>
      </c>
      <c r="B143" s="29" t="str">
        <f t="shared" si="2"/>
        <v/>
      </c>
      <c r="C143" s="39"/>
      <c r="D143" s="39"/>
      <c r="E143" s="42"/>
      <c r="F143" s="39"/>
      <c r="G143" s="39"/>
      <c r="H143" s="39"/>
      <c r="I143" s="39"/>
      <c r="J143" s="39"/>
      <c r="K143" s="39"/>
    </row>
    <row r="144" spans="1:11" x14ac:dyDescent="0.2">
      <c r="A144" s="59" t="str">
        <f t="shared" si="3"/>
        <v/>
      </c>
      <c r="B144" s="29" t="str">
        <f t="shared" si="2"/>
        <v/>
      </c>
      <c r="C144" s="39"/>
      <c r="D144" s="39"/>
      <c r="E144" s="42"/>
      <c r="F144" s="39"/>
      <c r="G144" s="39"/>
      <c r="H144" s="39"/>
      <c r="I144" s="39"/>
      <c r="J144" s="39"/>
      <c r="K144" s="39"/>
    </row>
    <row r="145" spans="1:11" x14ac:dyDescent="0.2">
      <c r="A145" s="59" t="str">
        <f t="shared" si="3"/>
        <v/>
      </c>
      <c r="B145" s="29" t="str">
        <f t="shared" ref="B145:B208" si="4">IF(C145="","",COUNTIF($C$17:$C$217,C145))</f>
        <v/>
      </c>
      <c r="C145" s="39"/>
      <c r="D145" s="39"/>
      <c r="E145" s="42"/>
      <c r="F145" s="39"/>
      <c r="G145" s="39"/>
      <c r="H145" s="39"/>
      <c r="I145" s="39"/>
      <c r="J145" s="39"/>
      <c r="K145" s="39"/>
    </row>
    <row r="146" spans="1:11" x14ac:dyDescent="0.2">
      <c r="A146" s="59" t="str">
        <f t="shared" ref="A146:A209" si="5">C146&amp;D146</f>
        <v/>
      </c>
      <c r="B146" s="29" t="str">
        <f t="shared" si="4"/>
        <v/>
      </c>
      <c r="C146" s="39"/>
      <c r="D146" s="39"/>
      <c r="E146" s="42"/>
      <c r="F146" s="39"/>
      <c r="G146" s="39"/>
      <c r="H146" s="39"/>
      <c r="I146" s="39"/>
      <c r="J146" s="39"/>
      <c r="K146" s="39"/>
    </row>
    <row r="147" spans="1:11" x14ac:dyDescent="0.2">
      <c r="A147" s="59" t="str">
        <f t="shared" si="5"/>
        <v/>
      </c>
      <c r="B147" s="29" t="str">
        <f t="shared" si="4"/>
        <v/>
      </c>
      <c r="C147" s="39"/>
      <c r="D147" s="39"/>
      <c r="E147" s="42"/>
      <c r="F147" s="39"/>
      <c r="G147" s="39"/>
      <c r="H147" s="39"/>
      <c r="I147" s="39"/>
      <c r="J147" s="39"/>
      <c r="K147" s="39"/>
    </row>
    <row r="148" spans="1:11" x14ac:dyDescent="0.2">
      <c r="A148" s="59" t="str">
        <f t="shared" si="5"/>
        <v/>
      </c>
      <c r="B148" s="29" t="str">
        <f t="shared" si="4"/>
        <v/>
      </c>
      <c r="C148" s="39"/>
      <c r="D148" s="39"/>
      <c r="E148" s="42"/>
      <c r="F148" s="39"/>
      <c r="G148" s="39"/>
      <c r="H148" s="39"/>
      <c r="I148" s="39"/>
      <c r="J148" s="39"/>
      <c r="K148" s="39"/>
    </row>
    <row r="149" spans="1:11" x14ac:dyDescent="0.2">
      <c r="A149" s="59" t="str">
        <f t="shared" si="5"/>
        <v/>
      </c>
      <c r="B149" s="29" t="str">
        <f t="shared" si="4"/>
        <v/>
      </c>
      <c r="C149" s="39"/>
      <c r="D149" s="39"/>
      <c r="E149" s="42"/>
      <c r="F149" s="39"/>
      <c r="G149" s="39"/>
      <c r="H149" s="39"/>
      <c r="I149" s="39"/>
      <c r="J149" s="39"/>
      <c r="K149" s="39"/>
    </row>
    <row r="150" spans="1:11" x14ac:dyDescent="0.2">
      <c r="A150" s="59" t="str">
        <f t="shared" si="5"/>
        <v/>
      </c>
      <c r="B150" s="29" t="str">
        <f t="shared" si="4"/>
        <v/>
      </c>
      <c r="C150" s="39"/>
      <c r="D150" s="39"/>
      <c r="E150" s="42"/>
      <c r="F150" s="39"/>
      <c r="G150" s="39"/>
      <c r="H150" s="39"/>
      <c r="I150" s="39"/>
      <c r="J150" s="39"/>
      <c r="K150" s="39"/>
    </row>
    <row r="151" spans="1:11" x14ac:dyDescent="0.2">
      <c r="A151" s="59" t="str">
        <f t="shared" si="5"/>
        <v/>
      </c>
      <c r="B151" s="29" t="str">
        <f t="shared" si="4"/>
        <v/>
      </c>
      <c r="C151" s="39"/>
      <c r="D151" s="39"/>
      <c r="E151" s="42"/>
      <c r="F151" s="39"/>
      <c r="G151" s="39"/>
      <c r="H151" s="39"/>
      <c r="I151" s="39"/>
      <c r="J151" s="39"/>
      <c r="K151" s="39"/>
    </row>
    <row r="152" spans="1:11" x14ac:dyDescent="0.2">
      <c r="A152" s="59" t="str">
        <f t="shared" si="5"/>
        <v/>
      </c>
      <c r="B152" s="29" t="str">
        <f t="shared" si="4"/>
        <v/>
      </c>
      <c r="C152" s="39"/>
      <c r="D152" s="39"/>
      <c r="E152" s="42"/>
      <c r="F152" s="39"/>
      <c r="G152" s="39"/>
      <c r="H152" s="39"/>
      <c r="I152" s="39"/>
      <c r="J152" s="39"/>
      <c r="K152" s="39"/>
    </row>
    <row r="153" spans="1:11" x14ac:dyDescent="0.2">
      <c r="A153" s="59" t="str">
        <f t="shared" si="5"/>
        <v/>
      </c>
      <c r="B153" s="29" t="str">
        <f t="shared" si="4"/>
        <v/>
      </c>
      <c r="C153" s="39"/>
      <c r="D153" s="39"/>
      <c r="E153" s="42"/>
      <c r="F153" s="39"/>
      <c r="G153" s="39"/>
      <c r="H153" s="39"/>
      <c r="I153" s="39"/>
      <c r="J153" s="39"/>
      <c r="K153" s="39"/>
    </row>
    <row r="154" spans="1:11" x14ac:dyDescent="0.2">
      <c r="A154" s="59" t="str">
        <f t="shared" si="5"/>
        <v/>
      </c>
      <c r="B154" s="29" t="str">
        <f t="shared" si="4"/>
        <v/>
      </c>
      <c r="C154" s="39"/>
      <c r="D154" s="39"/>
      <c r="E154" s="42"/>
      <c r="F154" s="39"/>
      <c r="G154" s="39"/>
      <c r="H154" s="39"/>
      <c r="I154" s="39"/>
      <c r="J154" s="39"/>
      <c r="K154" s="39"/>
    </row>
    <row r="155" spans="1:11" x14ac:dyDescent="0.2">
      <c r="A155" s="59" t="str">
        <f t="shared" si="5"/>
        <v/>
      </c>
      <c r="B155" s="29" t="str">
        <f t="shared" si="4"/>
        <v/>
      </c>
      <c r="C155" s="39"/>
      <c r="D155" s="39"/>
      <c r="E155" s="42"/>
      <c r="F155" s="39"/>
      <c r="G155" s="39"/>
      <c r="H155" s="39"/>
      <c r="I155" s="39"/>
      <c r="J155" s="39"/>
      <c r="K155" s="39"/>
    </row>
    <row r="156" spans="1:11" x14ac:dyDescent="0.2">
      <c r="A156" s="59" t="str">
        <f t="shared" si="5"/>
        <v/>
      </c>
      <c r="B156" s="29" t="str">
        <f t="shared" si="4"/>
        <v/>
      </c>
      <c r="C156" s="39"/>
      <c r="D156" s="39"/>
      <c r="E156" s="42"/>
      <c r="F156" s="39"/>
      <c r="G156" s="39"/>
      <c r="H156" s="39"/>
      <c r="I156" s="39"/>
      <c r="J156" s="39"/>
      <c r="K156" s="39"/>
    </row>
    <row r="157" spans="1:11" x14ac:dyDescent="0.2">
      <c r="A157" s="59" t="str">
        <f t="shared" si="5"/>
        <v/>
      </c>
      <c r="B157" s="29" t="str">
        <f t="shared" si="4"/>
        <v/>
      </c>
      <c r="C157" s="39"/>
      <c r="D157" s="39"/>
      <c r="E157" s="42"/>
      <c r="F157" s="39"/>
      <c r="G157" s="39"/>
      <c r="H157" s="39"/>
      <c r="I157" s="39"/>
      <c r="J157" s="39"/>
      <c r="K157" s="39"/>
    </row>
    <row r="158" spans="1:11" x14ac:dyDescent="0.2">
      <c r="A158" s="59" t="str">
        <f t="shared" si="5"/>
        <v/>
      </c>
      <c r="B158" s="29" t="str">
        <f t="shared" si="4"/>
        <v/>
      </c>
      <c r="C158" s="39"/>
      <c r="D158" s="39"/>
      <c r="E158" s="42"/>
      <c r="F158" s="39"/>
      <c r="G158" s="39"/>
      <c r="H158" s="39"/>
      <c r="I158" s="39"/>
      <c r="J158" s="39"/>
      <c r="K158" s="39"/>
    </row>
    <row r="159" spans="1:11" x14ac:dyDescent="0.2">
      <c r="A159" s="59" t="str">
        <f t="shared" si="5"/>
        <v/>
      </c>
      <c r="B159" s="29" t="str">
        <f t="shared" si="4"/>
        <v/>
      </c>
      <c r="C159" s="39"/>
      <c r="D159" s="39"/>
      <c r="E159" s="42"/>
      <c r="F159" s="39"/>
      <c r="G159" s="39"/>
      <c r="H159" s="39"/>
      <c r="I159" s="39"/>
      <c r="J159" s="39"/>
      <c r="K159" s="39"/>
    </row>
    <row r="160" spans="1:11" x14ac:dyDescent="0.2">
      <c r="A160" s="59" t="str">
        <f t="shared" si="5"/>
        <v/>
      </c>
      <c r="B160" s="29" t="str">
        <f t="shared" si="4"/>
        <v/>
      </c>
      <c r="C160" s="39"/>
      <c r="D160" s="39"/>
      <c r="E160" s="42"/>
      <c r="F160" s="39"/>
      <c r="G160" s="39"/>
      <c r="H160" s="39"/>
      <c r="I160" s="39"/>
      <c r="J160" s="39"/>
      <c r="K160" s="39"/>
    </row>
    <row r="161" spans="1:11" x14ac:dyDescent="0.2">
      <c r="A161" s="59" t="str">
        <f t="shared" si="5"/>
        <v/>
      </c>
      <c r="B161" s="29" t="str">
        <f t="shared" si="4"/>
        <v/>
      </c>
      <c r="C161" s="39"/>
      <c r="D161" s="39"/>
      <c r="E161" s="42"/>
      <c r="F161" s="39"/>
      <c r="G161" s="39"/>
      <c r="H161" s="39"/>
      <c r="I161" s="39"/>
      <c r="J161" s="39"/>
      <c r="K161" s="39"/>
    </row>
    <row r="162" spans="1:11" x14ac:dyDescent="0.2">
      <c r="A162" s="59" t="str">
        <f t="shared" si="5"/>
        <v/>
      </c>
      <c r="B162" s="29" t="str">
        <f t="shared" si="4"/>
        <v/>
      </c>
      <c r="C162" s="39"/>
      <c r="D162" s="39"/>
      <c r="E162" s="42"/>
      <c r="F162" s="39"/>
      <c r="G162" s="39"/>
      <c r="H162" s="39"/>
      <c r="I162" s="39"/>
      <c r="J162" s="39"/>
      <c r="K162" s="39"/>
    </row>
    <row r="163" spans="1:11" x14ac:dyDescent="0.2">
      <c r="A163" s="59" t="str">
        <f t="shared" si="5"/>
        <v/>
      </c>
      <c r="B163" s="29" t="str">
        <f t="shared" si="4"/>
        <v/>
      </c>
      <c r="C163" s="39"/>
      <c r="D163" s="39"/>
      <c r="E163" s="42"/>
      <c r="F163" s="39"/>
      <c r="G163" s="39"/>
      <c r="H163" s="39"/>
      <c r="I163" s="39"/>
      <c r="J163" s="39"/>
      <c r="K163" s="39"/>
    </row>
    <row r="164" spans="1:11" x14ac:dyDescent="0.2">
      <c r="A164" s="59" t="str">
        <f t="shared" si="5"/>
        <v/>
      </c>
      <c r="B164" s="29" t="str">
        <f t="shared" si="4"/>
        <v/>
      </c>
      <c r="C164" s="39"/>
      <c r="D164" s="39"/>
      <c r="E164" s="42"/>
      <c r="F164" s="39"/>
      <c r="G164" s="39"/>
      <c r="H164" s="39"/>
      <c r="I164" s="39"/>
      <c r="J164" s="39"/>
      <c r="K164" s="39"/>
    </row>
    <row r="165" spans="1:11" x14ac:dyDescent="0.2">
      <c r="A165" s="59" t="str">
        <f t="shared" si="5"/>
        <v/>
      </c>
      <c r="B165" s="29" t="str">
        <f t="shared" si="4"/>
        <v/>
      </c>
      <c r="C165" s="39"/>
      <c r="D165" s="39"/>
      <c r="E165" s="42"/>
      <c r="F165" s="39"/>
      <c r="G165" s="39"/>
      <c r="H165" s="39"/>
      <c r="I165" s="39"/>
      <c r="J165" s="39"/>
      <c r="K165" s="39"/>
    </row>
    <row r="166" spans="1:11" x14ac:dyDescent="0.2">
      <c r="A166" s="59" t="str">
        <f t="shared" si="5"/>
        <v/>
      </c>
      <c r="B166" s="29" t="str">
        <f t="shared" si="4"/>
        <v/>
      </c>
      <c r="C166" s="39"/>
      <c r="D166" s="39"/>
      <c r="E166" s="42"/>
      <c r="F166" s="39"/>
      <c r="G166" s="39"/>
      <c r="H166" s="39"/>
      <c r="I166" s="39"/>
      <c r="J166" s="39"/>
      <c r="K166" s="39"/>
    </row>
    <row r="167" spans="1:11" x14ac:dyDescent="0.2">
      <c r="A167" s="59" t="str">
        <f t="shared" si="5"/>
        <v/>
      </c>
      <c r="B167" s="29" t="str">
        <f t="shared" si="4"/>
        <v/>
      </c>
      <c r="C167" s="39"/>
      <c r="D167" s="39"/>
      <c r="E167" s="42"/>
      <c r="F167" s="39"/>
      <c r="G167" s="39"/>
      <c r="H167" s="39"/>
      <c r="I167" s="39"/>
      <c r="J167" s="39"/>
      <c r="K167" s="39"/>
    </row>
    <row r="168" spans="1:11" x14ac:dyDescent="0.2">
      <c r="A168" s="59" t="str">
        <f t="shared" si="5"/>
        <v/>
      </c>
      <c r="B168" s="29" t="str">
        <f t="shared" si="4"/>
        <v/>
      </c>
      <c r="C168" s="39"/>
      <c r="D168" s="39"/>
      <c r="E168" s="42"/>
      <c r="F168" s="39"/>
      <c r="G168" s="39"/>
      <c r="H168" s="39"/>
      <c r="I168" s="39"/>
      <c r="J168" s="39"/>
      <c r="K168" s="39"/>
    </row>
    <row r="169" spans="1:11" x14ac:dyDescent="0.2">
      <c r="A169" s="59" t="str">
        <f t="shared" si="5"/>
        <v/>
      </c>
      <c r="B169" s="29" t="str">
        <f t="shared" si="4"/>
        <v/>
      </c>
      <c r="C169" s="39"/>
      <c r="D169" s="39"/>
      <c r="E169" s="42"/>
      <c r="F169" s="39"/>
      <c r="G169" s="39"/>
      <c r="H169" s="39"/>
      <c r="I169" s="39"/>
      <c r="J169" s="39"/>
      <c r="K169" s="39"/>
    </row>
    <row r="170" spans="1:11" x14ac:dyDescent="0.2">
      <c r="A170" s="59" t="str">
        <f t="shared" si="5"/>
        <v/>
      </c>
      <c r="B170" s="29" t="str">
        <f t="shared" si="4"/>
        <v/>
      </c>
      <c r="C170" s="39"/>
      <c r="D170" s="39"/>
      <c r="E170" s="42"/>
      <c r="F170" s="39"/>
      <c r="G170" s="39"/>
      <c r="H170" s="39"/>
      <c r="I170" s="39"/>
      <c r="J170" s="39"/>
      <c r="K170" s="39"/>
    </row>
    <row r="171" spans="1:11" x14ac:dyDescent="0.2">
      <c r="A171" s="59" t="str">
        <f t="shared" si="5"/>
        <v/>
      </c>
      <c r="B171" s="29" t="str">
        <f t="shared" si="4"/>
        <v/>
      </c>
      <c r="C171" s="39"/>
      <c r="D171" s="39"/>
      <c r="E171" s="42"/>
      <c r="F171" s="39"/>
      <c r="G171" s="39"/>
      <c r="H171" s="39"/>
      <c r="I171" s="39"/>
      <c r="J171" s="39"/>
      <c r="K171" s="39"/>
    </row>
    <row r="172" spans="1:11" x14ac:dyDescent="0.2">
      <c r="A172" s="59" t="str">
        <f t="shared" si="5"/>
        <v/>
      </c>
      <c r="B172" s="29" t="str">
        <f t="shared" si="4"/>
        <v/>
      </c>
      <c r="C172" s="39"/>
      <c r="D172" s="39"/>
      <c r="E172" s="42"/>
      <c r="F172" s="39"/>
      <c r="G172" s="39"/>
      <c r="H172" s="39"/>
      <c r="I172" s="39"/>
      <c r="J172" s="39"/>
      <c r="K172" s="39"/>
    </row>
    <row r="173" spans="1:11" x14ac:dyDescent="0.2">
      <c r="A173" s="59" t="str">
        <f t="shared" si="5"/>
        <v/>
      </c>
      <c r="B173" s="29" t="str">
        <f t="shared" si="4"/>
        <v/>
      </c>
      <c r="C173" s="39"/>
      <c r="D173" s="39"/>
      <c r="E173" s="42"/>
      <c r="F173" s="39"/>
      <c r="G173" s="39"/>
      <c r="H173" s="39"/>
      <c r="I173" s="39"/>
      <c r="J173" s="39"/>
      <c r="K173" s="39"/>
    </row>
    <row r="174" spans="1:11" x14ac:dyDescent="0.2">
      <c r="A174" s="59" t="str">
        <f t="shared" si="5"/>
        <v/>
      </c>
      <c r="B174" s="29" t="str">
        <f t="shared" si="4"/>
        <v/>
      </c>
      <c r="C174" s="39"/>
      <c r="D174" s="39"/>
      <c r="E174" s="42"/>
      <c r="F174" s="39"/>
      <c r="G174" s="39"/>
      <c r="H174" s="39"/>
      <c r="I174" s="39"/>
      <c r="J174" s="39"/>
      <c r="K174" s="39"/>
    </row>
    <row r="175" spans="1:11" x14ac:dyDescent="0.2">
      <c r="A175" s="59" t="str">
        <f t="shared" si="5"/>
        <v/>
      </c>
      <c r="B175" s="29" t="str">
        <f t="shared" si="4"/>
        <v/>
      </c>
      <c r="C175" s="39"/>
      <c r="D175" s="39"/>
      <c r="E175" s="42"/>
      <c r="F175" s="39"/>
      <c r="G175" s="39"/>
      <c r="H175" s="39"/>
      <c r="I175" s="39"/>
      <c r="J175" s="39"/>
      <c r="K175" s="39"/>
    </row>
    <row r="176" spans="1:11" x14ac:dyDescent="0.2">
      <c r="A176" s="59" t="str">
        <f t="shared" si="5"/>
        <v/>
      </c>
      <c r="B176" s="29" t="str">
        <f t="shared" si="4"/>
        <v/>
      </c>
      <c r="C176" s="39"/>
      <c r="D176" s="39"/>
      <c r="E176" s="42"/>
      <c r="F176" s="39"/>
      <c r="G176" s="39"/>
      <c r="H176" s="39"/>
      <c r="I176" s="39"/>
      <c r="J176" s="39"/>
      <c r="K176" s="39"/>
    </row>
    <row r="177" spans="1:11" x14ac:dyDescent="0.2">
      <c r="A177" s="59" t="str">
        <f t="shared" si="5"/>
        <v/>
      </c>
      <c r="B177" s="29" t="str">
        <f t="shared" si="4"/>
        <v/>
      </c>
      <c r="C177" s="39"/>
      <c r="D177" s="39"/>
      <c r="E177" s="42"/>
      <c r="F177" s="39"/>
      <c r="G177" s="39"/>
      <c r="H177" s="39"/>
      <c r="I177" s="39"/>
      <c r="J177" s="39"/>
      <c r="K177" s="39"/>
    </row>
    <row r="178" spans="1:11" x14ac:dyDescent="0.2">
      <c r="A178" s="59" t="str">
        <f t="shared" si="5"/>
        <v/>
      </c>
      <c r="B178" s="29" t="str">
        <f t="shared" si="4"/>
        <v/>
      </c>
      <c r="C178" s="39"/>
      <c r="D178" s="39"/>
      <c r="E178" s="42"/>
      <c r="F178" s="39"/>
      <c r="G178" s="39"/>
      <c r="H178" s="39"/>
      <c r="I178" s="39"/>
      <c r="J178" s="39"/>
      <c r="K178" s="39"/>
    </row>
    <row r="179" spans="1:11" x14ac:dyDescent="0.2">
      <c r="A179" s="59" t="str">
        <f t="shared" si="5"/>
        <v/>
      </c>
      <c r="B179" s="29" t="str">
        <f t="shared" si="4"/>
        <v/>
      </c>
      <c r="C179" s="39"/>
      <c r="D179" s="39"/>
      <c r="E179" s="42"/>
      <c r="F179" s="39"/>
      <c r="G179" s="39"/>
      <c r="H179" s="39"/>
      <c r="I179" s="39"/>
      <c r="J179" s="39"/>
      <c r="K179" s="39"/>
    </row>
    <row r="180" spans="1:11" x14ac:dyDescent="0.2">
      <c r="A180" s="59" t="str">
        <f t="shared" si="5"/>
        <v/>
      </c>
      <c r="B180" s="29" t="str">
        <f t="shared" si="4"/>
        <v/>
      </c>
      <c r="C180" s="39"/>
      <c r="D180" s="39"/>
      <c r="E180" s="42"/>
      <c r="F180" s="39"/>
      <c r="G180" s="39"/>
      <c r="H180" s="39"/>
      <c r="I180" s="39"/>
      <c r="J180" s="39"/>
      <c r="K180" s="39"/>
    </row>
    <row r="181" spans="1:11" x14ac:dyDescent="0.2">
      <c r="A181" s="59" t="str">
        <f t="shared" si="5"/>
        <v/>
      </c>
      <c r="B181" s="29" t="str">
        <f t="shared" si="4"/>
        <v/>
      </c>
      <c r="C181" s="39"/>
      <c r="D181" s="39"/>
      <c r="E181" s="42"/>
      <c r="F181" s="39"/>
      <c r="G181" s="39"/>
      <c r="H181" s="39"/>
      <c r="I181" s="39"/>
      <c r="J181" s="39"/>
      <c r="K181" s="39"/>
    </row>
    <row r="182" spans="1:11" x14ac:dyDescent="0.2">
      <c r="A182" s="59" t="str">
        <f t="shared" si="5"/>
        <v/>
      </c>
      <c r="B182" s="29" t="str">
        <f t="shared" si="4"/>
        <v/>
      </c>
      <c r="C182" s="39"/>
      <c r="D182" s="39"/>
      <c r="E182" s="42"/>
      <c r="F182" s="39"/>
      <c r="G182" s="39"/>
      <c r="H182" s="39"/>
      <c r="I182" s="39"/>
      <c r="J182" s="39"/>
      <c r="K182" s="39"/>
    </row>
    <row r="183" spans="1:11" x14ac:dyDescent="0.2">
      <c r="A183" s="59" t="str">
        <f t="shared" si="5"/>
        <v/>
      </c>
      <c r="B183" s="29" t="str">
        <f t="shared" si="4"/>
        <v/>
      </c>
      <c r="C183" s="39"/>
      <c r="D183" s="39"/>
      <c r="E183" s="42"/>
      <c r="F183" s="39"/>
      <c r="G183" s="39"/>
      <c r="H183" s="39"/>
      <c r="I183" s="39"/>
      <c r="J183" s="39"/>
      <c r="K183" s="39"/>
    </row>
    <row r="184" spans="1:11" x14ac:dyDescent="0.2">
      <c r="A184" s="59" t="str">
        <f t="shared" si="5"/>
        <v/>
      </c>
      <c r="B184" s="29" t="str">
        <f t="shared" si="4"/>
        <v/>
      </c>
      <c r="C184" s="39"/>
      <c r="D184" s="39"/>
      <c r="E184" s="42"/>
      <c r="F184" s="39"/>
      <c r="G184" s="39"/>
      <c r="H184" s="39"/>
      <c r="I184" s="39"/>
      <c r="J184" s="39"/>
      <c r="K184" s="39"/>
    </row>
    <row r="185" spans="1:11" x14ac:dyDescent="0.2">
      <c r="A185" s="59" t="str">
        <f t="shared" si="5"/>
        <v/>
      </c>
      <c r="B185" s="29" t="str">
        <f t="shared" si="4"/>
        <v/>
      </c>
      <c r="C185" s="39"/>
      <c r="D185" s="39"/>
      <c r="E185" s="42"/>
      <c r="F185" s="39"/>
      <c r="G185" s="39"/>
      <c r="H185" s="39"/>
      <c r="I185" s="39"/>
      <c r="J185" s="39"/>
      <c r="K185" s="39"/>
    </row>
    <row r="186" spans="1:11" x14ac:dyDescent="0.2">
      <c r="A186" s="59" t="str">
        <f t="shared" si="5"/>
        <v/>
      </c>
      <c r="B186" s="29" t="str">
        <f t="shared" si="4"/>
        <v/>
      </c>
      <c r="C186" s="39"/>
      <c r="D186" s="39"/>
      <c r="E186" s="42"/>
      <c r="F186" s="39"/>
      <c r="G186" s="39"/>
      <c r="H186" s="39"/>
      <c r="I186" s="39"/>
      <c r="J186" s="39"/>
      <c r="K186" s="39"/>
    </row>
    <row r="187" spans="1:11" x14ac:dyDescent="0.2">
      <c r="A187" s="59" t="str">
        <f t="shared" si="5"/>
        <v/>
      </c>
      <c r="B187" s="29" t="str">
        <f t="shared" si="4"/>
        <v/>
      </c>
      <c r="C187" s="39"/>
      <c r="D187" s="39"/>
      <c r="E187" s="42"/>
      <c r="F187" s="39"/>
      <c r="G187" s="39"/>
      <c r="H187" s="39"/>
      <c r="I187" s="39"/>
      <c r="J187" s="39"/>
      <c r="K187" s="39"/>
    </row>
    <row r="188" spans="1:11" x14ac:dyDescent="0.2">
      <c r="A188" s="59" t="str">
        <f t="shared" si="5"/>
        <v/>
      </c>
      <c r="B188" s="29" t="str">
        <f t="shared" si="4"/>
        <v/>
      </c>
      <c r="C188" s="39"/>
      <c r="D188" s="39"/>
      <c r="E188" s="42"/>
      <c r="F188" s="39"/>
      <c r="G188" s="39"/>
      <c r="H188" s="39"/>
      <c r="I188" s="39"/>
      <c r="J188" s="39"/>
      <c r="K188" s="39"/>
    </row>
    <row r="189" spans="1:11" x14ac:dyDescent="0.2">
      <c r="A189" s="59" t="str">
        <f t="shared" si="5"/>
        <v/>
      </c>
      <c r="B189" s="29" t="str">
        <f t="shared" si="4"/>
        <v/>
      </c>
      <c r="C189" s="39"/>
      <c r="D189" s="39"/>
      <c r="E189" s="42"/>
      <c r="F189" s="39"/>
      <c r="G189" s="39"/>
      <c r="H189" s="39"/>
      <c r="I189" s="39"/>
      <c r="J189" s="39"/>
      <c r="K189" s="39"/>
    </row>
    <row r="190" spans="1:11" x14ac:dyDescent="0.2">
      <c r="A190" s="59" t="str">
        <f t="shared" si="5"/>
        <v/>
      </c>
      <c r="B190" s="29" t="str">
        <f t="shared" si="4"/>
        <v/>
      </c>
      <c r="C190" s="39"/>
      <c r="D190" s="39"/>
      <c r="E190" s="42"/>
      <c r="F190" s="39"/>
      <c r="G190" s="39"/>
      <c r="H190" s="39"/>
      <c r="I190" s="39"/>
      <c r="J190" s="39"/>
      <c r="K190" s="39"/>
    </row>
    <row r="191" spans="1:11" x14ac:dyDescent="0.2">
      <c r="A191" s="59" t="str">
        <f t="shared" si="5"/>
        <v/>
      </c>
      <c r="B191" s="29" t="str">
        <f t="shared" si="4"/>
        <v/>
      </c>
      <c r="C191" s="39"/>
      <c r="D191" s="39"/>
      <c r="E191" s="42"/>
      <c r="F191" s="39"/>
      <c r="G191" s="39"/>
      <c r="H191" s="39"/>
      <c r="I191" s="39"/>
      <c r="J191" s="39"/>
      <c r="K191" s="39"/>
    </row>
    <row r="192" spans="1:11" x14ac:dyDescent="0.2">
      <c r="A192" s="59" t="str">
        <f t="shared" si="5"/>
        <v/>
      </c>
      <c r="B192" s="29" t="str">
        <f t="shared" si="4"/>
        <v/>
      </c>
      <c r="C192" s="39"/>
      <c r="D192" s="39"/>
      <c r="E192" s="42"/>
      <c r="F192" s="39"/>
      <c r="G192" s="39"/>
      <c r="H192" s="39"/>
      <c r="I192" s="39"/>
      <c r="J192" s="39"/>
      <c r="K192" s="39"/>
    </row>
    <row r="193" spans="1:11" x14ac:dyDescent="0.2">
      <c r="A193" s="59" t="str">
        <f t="shared" si="5"/>
        <v/>
      </c>
      <c r="B193" s="29" t="str">
        <f t="shared" si="4"/>
        <v/>
      </c>
      <c r="C193" s="39"/>
      <c r="D193" s="39"/>
      <c r="E193" s="42"/>
      <c r="F193" s="39"/>
      <c r="G193" s="39"/>
      <c r="H193" s="39"/>
      <c r="I193" s="39"/>
      <c r="J193" s="39"/>
      <c r="K193" s="39"/>
    </row>
    <row r="194" spans="1:11" x14ac:dyDescent="0.2">
      <c r="A194" s="59" t="str">
        <f t="shared" si="5"/>
        <v/>
      </c>
      <c r="B194" s="29" t="str">
        <f t="shared" si="4"/>
        <v/>
      </c>
      <c r="C194" s="39"/>
      <c r="D194" s="39"/>
      <c r="E194" s="42"/>
      <c r="F194" s="39"/>
      <c r="G194" s="39"/>
      <c r="H194" s="39"/>
      <c r="I194" s="39"/>
      <c r="J194" s="39"/>
      <c r="K194" s="39"/>
    </row>
    <row r="195" spans="1:11" x14ac:dyDescent="0.2">
      <c r="A195" s="59" t="str">
        <f t="shared" si="5"/>
        <v/>
      </c>
      <c r="B195" s="29" t="str">
        <f t="shared" si="4"/>
        <v/>
      </c>
      <c r="C195" s="39"/>
      <c r="D195" s="39"/>
      <c r="E195" s="42"/>
      <c r="F195" s="39"/>
      <c r="G195" s="39"/>
      <c r="H195" s="39"/>
      <c r="I195" s="39"/>
      <c r="J195" s="39"/>
      <c r="K195" s="39"/>
    </row>
    <row r="196" spans="1:11" x14ac:dyDescent="0.2">
      <c r="A196" s="59" t="str">
        <f t="shared" si="5"/>
        <v/>
      </c>
      <c r="B196" s="29" t="str">
        <f t="shared" si="4"/>
        <v/>
      </c>
      <c r="C196" s="39"/>
      <c r="D196" s="39"/>
      <c r="E196" s="42"/>
      <c r="F196" s="39"/>
      <c r="G196" s="39"/>
      <c r="H196" s="39"/>
      <c r="I196" s="39"/>
      <c r="J196" s="39"/>
      <c r="K196" s="39"/>
    </row>
    <row r="197" spans="1:11" x14ac:dyDescent="0.2">
      <c r="A197" s="59" t="str">
        <f t="shared" si="5"/>
        <v/>
      </c>
      <c r="B197" s="29" t="str">
        <f t="shared" si="4"/>
        <v/>
      </c>
      <c r="C197" s="39"/>
      <c r="D197" s="39"/>
      <c r="E197" s="42"/>
      <c r="F197" s="39"/>
      <c r="G197" s="39"/>
      <c r="H197" s="39"/>
      <c r="I197" s="39"/>
      <c r="J197" s="39"/>
      <c r="K197" s="39"/>
    </row>
    <row r="198" spans="1:11" x14ac:dyDescent="0.2">
      <c r="A198" s="59" t="str">
        <f t="shared" si="5"/>
        <v/>
      </c>
      <c r="B198" s="29" t="str">
        <f t="shared" si="4"/>
        <v/>
      </c>
      <c r="C198" s="39"/>
      <c r="D198" s="39"/>
      <c r="E198" s="42"/>
      <c r="F198" s="39"/>
      <c r="G198" s="39"/>
      <c r="H198" s="39"/>
      <c r="I198" s="39"/>
      <c r="J198" s="39"/>
      <c r="K198" s="39"/>
    </row>
    <row r="199" spans="1:11" x14ac:dyDescent="0.2">
      <c r="A199" s="59" t="str">
        <f t="shared" si="5"/>
        <v/>
      </c>
      <c r="B199" s="29" t="str">
        <f t="shared" si="4"/>
        <v/>
      </c>
      <c r="C199" s="39"/>
      <c r="D199" s="39"/>
      <c r="E199" s="42"/>
      <c r="F199" s="39"/>
      <c r="G199" s="39"/>
      <c r="H199" s="39"/>
      <c r="I199" s="39"/>
      <c r="J199" s="39"/>
      <c r="K199" s="39"/>
    </row>
    <row r="200" spans="1:11" x14ac:dyDescent="0.2">
      <c r="A200" s="59" t="str">
        <f t="shared" si="5"/>
        <v/>
      </c>
      <c r="B200" s="29" t="str">
        <f t="shared" si="4"/>
        <v/>
      </c>
      <c r="C200" s="39"/>
      <c r="D200" s="39"/>
      <c r="E200" s="42"/>
      <c r="F200" s="39"/>
      <c r="G200" s="39"/>
      <c r="H200" s="39"/>
      <c r="I200" s="39"/>
      <c r="J200" s="39"/>
      <c r="K200" s="39"/>
    </row>
    <row r="201" spans="1:11" x14ac:dyDescent="0.2">
      <c r="A201" s="59" t="str">
        <f t="shared" si="5"/>
        <v/>
      </c>
      <c r="B201" s="29" t="str">
        <f t="shared" si="4"/>
        <v/>
      </c>
      <c r="C201" s="39"/>
      <c r="D201" s="39"/>
      <c r="E201" s="42"/>
      <c r="F201" s="39"/>
      <c r="G201" s="39"/>
      <c r="H201" s="39"/>
      <c r="I201" s="39"/>
      <c r="J201" s="39"/>
      <c r="K201" s="39"/>
    </row>
    <row r="202" spans="1:11" x14ac:dyDescent="0.2">
      <c r="A202" s="59" t="str">
        <f t="shared" si="5"/>
        <v/>
      </c>
      <c r="B202" s="29" t="str">
        <f t="shared" si="4"/>
        <v/>
      </c>
      <c r="C202" s="39"/>
      <c r="D202" s="39"/>
      <c r="E202" s="42"/>
      <c r="F202" s="39"/>
      <c r="G202" s="39"/>
      <c r="H202" s="39"/>
      <c r="I202" s="39"/>
      <c r="J202" s="39"/>
      <c r="K202" s="39"/>
    </row>
    <row r="203" spans="1:11" x14ac:dyDescent="0.2">
      <c r="A203" s="59" t="str">
        <f t="shared" si="5"/>
        <v/>
      </c>
      <c r="B203" s="29" t="str">
        <f t="shared" si="4"/>
        <v/>
      </c>
      <c r="C203" s="39"/>
      <c r="D203" s="39"/>
      <c r="E203" s="42"/>
      <c r="F203" s="39"/>
      <c r="G203" s="39"/>
      <c r="H203" s="39"/>
      <c r="I203" s="39"/>
      <c r="J203" s="39"/>
      <c r="K203" s="39"/>
    </row>
    <row r="204" spans="1:11" x14ac:dyDescent="0.2">
      <c r="A204" s="59" t="str">
        <f t="shared" si="5"/>
        <v/>
      </c>
      <c r="B204" s="29" t="str">
        <f t="shared" si="4"/>
        <v/>
      </c>
      <c r="C204" s="39"/>
      <c r="D204" s="39"/>
      <c r="E204" s="42"/>
      <c r="F204" s="39"/>
      <c r="G204" s="39"/>
      <c r="H204" s="39"/>
      <c r="I204" s="39"/>
      <c r="J204" s="39"/>
      <c r="K204" s="39"/>
    </row>
    <row r="205" spans="1:11" x14ac:dyDescent="0.2">
      <c r="A205" s="59" t="str">
        <f t="shared" si="5"/>
        <v/>
      </c>
      <c r="B205" s="29" t="str">
        <f t="shared" si="4"/>
        <v/>
      </c>
      <c r="C205" s="39"/>
      <c r="D205" s="39"/>
      <c r="E205" s="42"/>
      <c r="F205" s="39"/>
      <c r="G205" s="39"/>
      <c r="H205" s="39"/>
      <c r="I205" s="39"/>
      <c r="J205" s="39"/>
      <c r="K205" s="39"/>
    </row>
    <row r="206" spans="1:11" x14ac:dyDescent="0.2">
      <c r="A206" s="59" t="str">
        <f t="shared" si="5"/>
        <v/>
      </c>
      <c r="B206" s="29" t="str">
        <f t="shared" si="4"/>
        <v/>
      </c>
      <c r="C206" s="39"/>
      <c r="D206" s="39"/>
      <c r="E206" s="42"/>
      <c r="F206" s="39"/>
      <c r="G206" s="39"/>
      <c r="H206" s="39"/>
      <c r="I206" s="39"/>
      <c r="J206" s="39"/>
      <c r="K206" s="39"/>
    </row>
    <row r="207" spans="1:11" x14ac:dyDescent="0.2">
      <c r="A207" s="59" t="str">
        <f t="shared" si="5"/>
        <v/>
      </c>
      <c r="B207" s="29" t="str">
        <f t="shared" si="4"/>
        <v/>
      </c>
      <c r="C207" s="39"/>
      <c r="D207" s="39"/>
      <c r="E207" s="42"/>
      <c r="F207" s="39"/>
      <c r="G207" s="39"/>
      <c r="H207" s="39"/>
      <c r="I207" s="39"/>
      <c r="J207" s="39"/>
      <c r="K207" s="39"/>
    </row>
    <row r="208" spans="1:11" x14ac:dyDescent="0.2">
      <c r="A208" s="59" t="str">
        <f t="shared" si="5"/>
        <v/>
      </c>
      <c r="B208" s="29" t="str">
        <f t="shared" si="4"/>
        <v/>
      </c>
      <c r="C208" s="39"/>
      <c r="D208" s="39"/>
      <c r="E208" s="42"/>
      <c r="F208" s="39"/>
      <c r="G208" s="39"/>
      <c r="H208" s="39"/>
      <c r="I208" s="39"/>
      <c r="J208" s="39"/>
      <c r="K208" s="39"/>
    </row>
    <row r="209" spans="1:11" x14ac:dyDescent="0.2">
      <c r="A209" s="59" t="str">
        <f t="shared" si="5"/>
        <v/>
      </c>
      <c r="B209" s="29" t="str">
        <f t="shared" ref="B209:B217" si="6">IF(C209="","",COUNTIF($C$17:$C$217,C209))</f>
        <v/>
      </c>
      <c r="C209" s="39"/>
      <c r="D209" s="39"/>
      <c r="E209" s="42"/>
      <c r="F209" s="39"/>
      <c r="G209" s="39"/>
      <c r="H209" s="39"/>
      <c r="I209" s="39"/>
      <c r="J209" s="39"/>
      <c r="K209" s="39"/>
    </row>
    <row r="210" spans="1:11" x14ac:dyDescent="0.2">
      <c r="A210" s="59" t="str">
        <f t="shared" ref="A210:A217" si="7">C210&amp;D210</f>
        <v/>
      </c>
      <c r="B210" s="29" t="str">
        <f t="shared" si="6"/>
        <v/>
      </c>
      <c r="C210" s="39"/>
      <c r="D210" s="39"/>
      <c r="E210" s="42"/>
      <c r="F210" s="39"/>
      <c r="G210" s="39"/>
      <c r="H210" s="39"/>
      <c r="I210" s="39"/>
      <c r="J210" s="39"/>
      <c r="K210" s="39"/>
    </row>
    <row r="211" spans="1:11" x14ac:dyDescent="0.2">
      <c r="A211" s="59" t="str">
        <f t="shared" si="7"/>
        <v/>
      </c>
      <c r="B211" s="29" t="str">
        <f t="shared" si="6"/>
        <v/>
      </c>
      <c r="C211" s="39"/>
      <c r="D211" s="39"/>
      <c r="E211" s="42"/>
      <c r="F211" s="39"/>
      <c r="G211" s="39"/>
      <c r="H211" s="39"/>
      <c r="I211" s="39"/>
      <c r="J211" s="39"/>
      <c r="K211" s="39"/>
    </row>
    <row r="212" spans="1:11" x14ac:dyDescent="0.2">
      <c r="A212" s="59" t="str">
        <f t="shared" si="7"/>
        <v/>
      </c>
      <c r="B212" s="29" t="str">
        <f t="shared" si="6"/>
        <v/>
      </c>
      <c r="C212" s="39"/>
      <c r="D212" s="39"/>
      <c r="E212" s="42"/>
      <c r="F212" s="39"/>
      <c r="G212" s="39"/>
      <c r="H212" s="39"/>
      <c r="I212" s="39"/>
      <c r="J212" s="39"/>
      <c r="K212" s="39"/>
    </row>
    <row r="213" spans="1:11" x14ac:dyDescent="0.2">
      <c r="A213" s="59" t="str">
        <f t="shared" si="7"/>
        <v/>
      </c>
      <c r="B213" s="29" t="str">
        <f t="shared" si="6"/>
        <v/>
      </c>
      <c r="C213" s="39"/>
      <c r="D213" s="39"/>
      <c r="E213" s="42"/>
      <c r="F213" s="39"/>
      <c r="G213" s="39"/>
      <c r="H213" s="39"/>
      <c r="I213" s="39"/>
      <c r="J213" s="39"/>
      <c r="K213" s="39"/>
    </row>
    <row r="214" spans="1:11" x14ac:dyDescent="0.2">
      <c r="A214" s="59" t="str">
        <f t="shared" si="7"/>
        <v/>
      </c>
      <c r="B214" s="29" t="str">
        <f t="shared" si="6"/>
        <v/>
      </c>
      <c r="C214" s="39"/>
      <c r="D214" s="39"/>
      <c r="E214" s="42"/>
      <c r="F214" s="39"/>
      <c r="G214" s="39"/>
      <c r="H214" s="39"/>
      <c r="I214" s="39"/>
      <c r="J214" s="39"/>
      <c r="K214" s="39"/>
    </row>
    <row r="215" spans="1:11" x14ac:dyDescent="0.2">
      <c r="A215" s="59" t="str">
        <f t="shared" si="7"/>
        <v/>
      </c>
      <c r="B215" s="29" t="str">
        <f t="shared" si="6"/>
        <v/>
      </c>
      <c r="C215" s="39"/>
      <c r="D215" s="39"/>
      <c r="E215" s="42"/>
      <c r="F215" s="39"/>
      <c r="G215" s="39"/>
      <c r="H215" s="39"/>
      <c r="I215" s="39"/>
      <c r="J215" s="39"/>
      <c r="K215" s="39"/>
    </row>
    <row r="216" spans="1:11" x14ac:dyDescent="0.2">
      <c r="A216" s="59" t="str">
        <f t="shared" si="7"/>
        <v/>
      </c>
      <c r="B216" s="29" t="str">
        <f t="shared" si="6"/>
        <v/>
      </c>
      <c r="C216" s="39"/>
      <c r="D216" s="39"/>
      <c r="E216" s="42"/>
      <c r="F216" s="39"/>
      <c r="G216" s="39"/>
      <c r="H216" s="39"/>
      <c r="I216" s="39"/>
      <c r="J216" s="39"/>
      <c r="K216" s="39"/>
    </row>
    <row r="217" spans="1:11" x14ac:dyDescent="0.2">
      <c r="A217" s="59" t="str">
        <f t="shared" si="7"/>
        <v/>
      </c>
      <c r="B217" s="29" t="str">
        <f t="shared" si="6"/>
        <v/>
      </c>
      <c r="C217" s="39"/>
      <c r="D217" s="39"/>
      <c r="E217" s="42"/>
      <c r="F217" s="39"/>
      <c r="G217" s="39"/>
      <c r="H217" s="39"/>
      <c r="I217" s="39"/>
      <c r="J217" s="39"/>
      <c r="K217" s="39"/>
    </row>
  </sheetData>
  <sheetProtection algorithmName="SHA-512" hashValue="uDj65wQ7YQ1TYFkTlj9lRpzm2kWGT3yFQe96sX61uKwXn6pGAqQck/f5fpJ5o72AIj3uuKCLjpC1yCrFrHCjEA==" saltValue="0NXPcJYGVD9c68nK+7QeYg==" spinCount="100000" sheet="1" objects="1" scenarios="1" selectLockedCells="1"/>
  <sortState ref="AG6:AG14">
    <sortCondition ref="AG6"/>
  </sortState>
  <mergeCells count="1">
    <mergeCell ref="H4:J4"/>
  </mergeCells>
  <phoneticPr fontId="0" type="noConversion"/>
  <conditionalFormatting sqref="C17:K217">
    <cfRule type="expression" dxfId="12" priority="21">
      <formula>$E16&lt;&gt;""</formula>
    </cfRule>
  </conditionalFormatting>
  <conditionalFormatting sqref="B17:B217">
    <cfRule type="expression" dxfId="11" priority="16">
      <formula>OR(AND($AC$43&lt;6,$B17&gt;5)+$B17&gt;6)</formula>
    </cfRule>
  </conditionalFormatting>
  <conditionalFormatting sqref="D17:D217">
    <cfRule type="expression" dxfId="10" priority="15">
      <formula>AND($D17&lt;&gt;"",COUNTIF($A$17:$A$217,$A17)&gt;1)</formula>
    </cfRule>
  </conditionalFormatting>
  <conditionalFormatting sqref="C14:I14">
    <cfRule type="expression" dxfId="9" priority="2">
      <formula>$AC$43&gt;5</formula>
    </cfRule>
  </conditionalFormatting>
  <conditionalFormatting sqref="D14">
    <cfRule type="expression" dxfId="8" priority="1">
      <formula>$AC$43&lt;6</formula>
    </cfRule>
  </conditionalFormatting>
  <dataValidations count="4">
    <dataValidation type="list" allowBlank="1" showInputMessage="1" showErrorMessage="1" sqref="F17:F217">
      <formula1>$AC$6:$AC$13</formula1>
    </dataValidation>
    <dataValidation type="list" allowBlank="1" showInputMessage="1" showErrorMessage="1" sqref="G17:G217">
      <formula1>$AE$6:$AE$11</formula1>
    </dataValidation>
    <dataValidation type="list" allowBlank="1" showInputMessage="1" showErrorMessage="1" sqref="H17:H217">
      <formula1>$AG$6:$AG$14</formula1>
    </dataValidation>
    <dataValidation type="custom" allowBlank="1" showInputMessage="1" showErrorMessage="1" errorTitle="Error!" error="Your peg number is higher than that allowed by the Discipline chosen" sqref="D17:D216">
      <formula1>OR(AND($AC$43&lt;6,D17&lt;6),AND($AC$43&gt;5,D17&lt;7))</formula1>
    </dataValidation>
  </dataValidations>
  <pageMargins left="0.74803149606299213" right="0.74803149606299213" top="0.98425196850393704" bottom="0.98425196850393704" header="0.51181102362204722" footer="0.51181102362204722"/>
  <pageSetup paperSize="9" scale="2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6" r:id="rId4" name="Drop Down 24">
              <controlPr defaultSize="0" autoLine="0" autoPict="0">
                <anchor moveWithCells="1">
                  <from>
                    <xdr:col>9</xdr:col>
                    <xdr:colOff>19050</xdr:colOff>
                    <xdr:row>5</xdr:row>
                    <xdr:rowOff>28575</xdr:rowOff>
                  </from>
                  <to>
                    <xdr:col>12</xdr:col>
                    <xdr:colOff>57150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F34"/>
  <sheetViews>
    <sheetView showGridLines="0" showRowColHeaders="0" showZeros="0" zoomScale="70" zoomScaleNormal="70" workbookViewId="0">
      <selection activeCell="AB17" sqref="AB17"/>
    </sheetView>
  </sheetViews>
  <sheetFormatPr defaultRowHeight="12.75" x14ac:dyDescent="0.2"/>
  <cols>
    <col min="1" max="2" width="5.28515625" customWidth="1"/>
    <col min="3" max="3" width="30.28515625" customWidth="1"/>
    <col min="4" max="4" width="5.140625" style="5" customWidth="1"/>
    <col min="5" max="5" width="5.85546875" customWidth="1"/>
    <col min="6" max="7" width="6.85546875" customWidth="1"/>
    <col min="8" max="14" width="5.85546875" customWidth="1"/>
    <col min="16" max="16" width="8.140625" customWidth="1"/>
    <col min="17" max="17" width="2.5703125" customWidth="1"/>
    <col min="18" max="27" width="5.85546875" customWidth="1"/>
    <col min="28" max="28" width="9.85546875" customWidth="1"/>
    <col min="29" max="29" width="8.42578125" customWidth="1"/>
  </cols>
  <sheetData>
    <row r="1" spans="1:58" ht="25.5" x14ac:dyDescent="0.35">
      <c r="A1" s="87"/>
      <c r="B1" s="87"/>
      <c r="C1" s="87"/>
      <c r="D1" s="11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237" t="str">
        <f>ClubName</f>
        <v>Valley Gun Club</v>
      </c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301"/>
      <c r="AO1" s="252"/>
      <c r="AP1" s="252"/>
      <c r="AQ1" s="252"/>
      <c r="AR1" s="252"/>
      <c r="AS1" s="252"/>
      <c r="AT1" s="252"/>
      <c r="AU1" s="252"/>
      <c r="AV1" s="252"/>
      <c r="AW1" s="301"/>
      <c r="AX1" s="301"/>
      <c r="AY1" s="301"/>
      <c r="AZ1" s="301"/>
      <c r="BA1" s="301"/>
      <c r="BB1" s="301"/>
      <c r="BC1" s="301"/>
      <c r="BD1" s="301"/>
      <c r="BE1" s="301"/>
      <c r="BF1" s="19"/>
    </row>
    <row r="2" spans="1:58" ht="7.5" customHeight="1" x14ac:dyDescent="0.2">
      <c r="A2" s="87"/>
      <c r="B2" s="87"/>
      <c r="C2" s="87"/>
      <c r="D2" s="11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301"/>
      <c r="AO2" s="252"/>
      <c r="AP2" s="252"/>
      <c r="AQ2" s="252"/>
      <c r="AR2" s="252"/>
      <c r="AS2" s="252"/>
      <c r="AT2" s="252"/>
      <c r="AU2" s="252"/>
      <c r="AV2" s="252"/>
      <c r="AW2" s="301"/>
      <c r="AX2" s="301"/>
      <c r="AY2" s="301"/>
      <c r="AZ2" s="301"/>
      <c r="BA2" s="301"/>
      <c r="BB2" s="301"/>
      <c r="BC2" s="301"/>
      <c r="BD2" s="301"/>
      <c r="BE2" s="301"/>
      <c r="BF2" s="19"/>
    </row>
    <row r="3" spans="1:58" ht="24" thickBot="1" x14ac:dyDescent="0.4">
      <c r="A3" s="116"/>
      <c r="B3" s="116"/>
      <c r="C3" s="87"/>
      <c r="D3" s="302" t="s">
        <v>21</v>
      </c>
      <c r="E3" s="516">
        <f>IF(Choice!H4="","",Choice!H4)</f>
        <v>43743</v>
      </c>
      <c r="F3" s="517"/>
      <c r="G3" s="87"/>
      <c r="H3" s="259"/>
      <c r="I3" s="259"/>
      <c r="J3" s="9" t="s">
        <v>1</v>
      </c>
      <c r="K3" s="75">
        <v>1</v>
      </c>
      <c r="L3" s="87"/>
      <c r="M3" s="304"/>
      <c r="N3" s="119" t="s">
        <v>24</v>
      </c>
      <c r="O3" s="47"/>
      <c r="P3" s="87"/>
      <c r="Q3" s="87"/>
      <c r="R3" s="306">
        <v>2</v>
      </c>
      <c r="S3" s="87"/>
      <c r="T3" s="307"/>
      <c r="U3" s="87"/>
      <c r="V3" s="87"/>
      <c r="W3" s="87"/>
      <c r="X3" s="87"/>
      <c r="Y3" s="308"/>
      <c r="Z3" s="87"/>
      <c r="AA3" s="119" t="s">
        <v>24</v>
      </c>
      <c r="AB3" s="4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301"/>
      <c r="AO3" s="252"/>
      <c r="AP3" s="252"/>
      <c r="AQ3" s="252"/>
      <c r="AR3" s="252"/>
      <c r="AS3" s="252"/>
      <c r="AT3" s="252"/>
      <c r="AU3" s="252"/>
      <c r="AV3" s="252"/>
      <c r="AW3" s="301"/>
      <c r="AX3" s="301"/>
      <c r="AY3" s="301"/>
      <c r="AZ3" s="301"/>
      <c r="BA3" s="301"/>
      <c r="BB3" s="301"/>
      <c r="BC3" s="301"/>
      <c r="BD3" s="301"/>
      <c r="BE3" s="301"/>
      <c r="BF3" s="19"/>
    </row>
    <row r="4" spans="1:58" ht="19.5" thickBot="1" x14ac:dyDescent="0.35">
      <c r="A4" s="116"/>
      <c r="B4" s="116"/>
      <c r="C4" s="125"/>
      <c r="D4" s="309"/>
      <c r="E4" s="310"/>
      <c r="F4" s="311"/>
      <c r="G4" s="311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312"/>
      <c r="Z4" s="117"/>
      <c r="AA4" s="313"/>
      <c r="AB4" s="11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301"/>
      <c r="AO4" s="252"/>
      <c r="AP4" s="252"/>
      <c r="AQ4" s="252"/>
      <c r="AR4" s="252"/>
      <c r="AS4" s="252"/>
      <c r="AT4" s="252"/>
      <c r="AU4" s="252"/>
      <c r="AV4" s="252"/>
      <c r="AW4" s="301"/>
      <c r="AX4" s="301"/>
      <c r="AY4" s="301"/>
      <c r="AZ4" s="301"/>
      <c r="BA4" s="301"/>
      <c r="BB4" s="301"/>
      <c r="BC4" s="301"/>
      <c r="BD4" s="301"/>
      <c r="BE4" s="301"/>
      <c r="BF4" s="19"/>
    </row>
    <row r="5" spans="1:58" ht="16.5" thickBot="1" x14ac:dyDescent="0.3">
      <c r="A5" s="314" t="s">
        <v>22</v>
      </c>
      <c r="B5" s="315" t="s">
        <v>37</v>
      </c>
      <c r="C5" s="316" t="s">
        <v>3</v>
      </c>
      <c r="D5" s="317" t="s">
        <v>38</v>
      </c>
      <c r="E5" s="318">
        <v>1</v>
      </c>
      <c r="F5" s="319">
        <v>2</v>
      </c>
      <c r="G5" s="319">
        <v>3</v>
      </c>
      <c r="H5" s="319">
        <v>4</v>
      </c>
      <c r="I5" s="319">
        <v>5</v>
      </c>
      <c r="J5" s="319">
        <v>6</v>
      </c>
      <c r="K5" s="319">
        <v>7</v>
      </c>
      <c r="L5" s="319">
        <v>8</v>
      </c>
      <c r="M5" s="319">
        <v>9</v>
      </c>
      <c r="N5" s="320">
        <v>10</v>
      </c>
      <c r="O5" s="321" t="s">
        <v>4</v>
      </c>
      <c r="P5" s="322" t="s">
        <v>23</v>
      </c>
      <c r="Q5" s="323"/>
      <c r="R5" s="324">
        <v>1</v>
      </c>
      <c r="S5" s="319">
        <v>2</v>
      </c>
      <c r="T5" s="319">
        <v>3</v>
      </c>
      <c r="U5" s="319">
        <v>4</v>
      </c>
      <c r="V5" s="319">
        <v>5</v>
      </c>
      <c r="W5" s="319">
        <v>6</v>
      </c>
      <c r="X5" s="319">
        <v>7</v>
      </c>
      <c r="Y5" s="319">
        <v>8</v>
      </c>
      <c r="Z5" s="319">
        <v>9</v>
      </c>
      <c r="AA5" s="325">
        <v>10</v>
      </c>
      <c r="AB5" s="321" t="s">
        <v>4</v>
      </c>
      <c r="AC5" s="322" t="s">
        <v>23</v>
      </c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301"/>
      <c r="AO5" s="252"/>
      <c r="AP5" s="252"/>
      <c r="AQ5" s="252"/>
      <c r="AR5" s="252"/>
      <c r="AS5" s="252"/>
      <c r="AT5" s="252"/>
      <c r="AU5" s="252"/>
      <c r="AV5" s="252"/>
      <c r="AW5" s="301"/>
      <c r="AX5" s="301"/>
      <c r="AY5" s="301"/>
      <c r="AZ5" s="301"/>
      <c r="BA5" s="301"/>
      <c r="BB5" s="301"/>
      <c r="BC5" s="301"/>
      <c r="BD5" s="301"/>
      <c r="BE5" s="301"/>
      <c r="BF5" s="19"/>
    </row>
    <row r="6" spans="1:58" ht="39.950000000000003" customHeight="1" x14ac:dyDescent="0.3">
      <c r="A6" s="326">
        <v>1</v>
      </c>
      <c r="B6" s="327">
        <f>IF(OR($K$3="",$C6=""),"",IFERROR(VLOOKUP($K$3&amp;$A6,Choice!$A$17:$K$217,11,FALSE),""))</f>
        <v>57</v>
      </c>
      <c r="C6" s="328" t="str">
        <f>IF($K$3="","",IFERROR(VLOOKUP($K$3&amp;$A6,Choice!$A$17:$K$217,5,FALSE),""))</f>
        <v>Bornman Cornel</v>
      </c>
      <c r="D6" s="327" t="str">
        <f>IF(OR($K$3="",$C6=""),"",IFERROR(VLOOKUP($K$3&amp;$A6,Choice!$A$17:$K$217,6,FALSE),""))</f>
        <v>S</v>
      </c>
      <c r="E6" s="329"/>
      <c r="F6" s="330"/>
      <c r="G6" s="330"/>
      <c r="H6" s="330"/>
      <c r="I6" s="330"/>
      <c r="J6" s="330"/>
      <c r="K6" s="330"/>
      <c r="L6" s="330"/>
      <c r="M6" s="330"/>
      <c r="N6" s="331"/>
      <c r="O6" s="332"/>
      <c r="P6" s="333"/>
      <c r="Q6" s="87"/>
      <c r="R6" s="329"/>
      <c r="S6" s="330"/>
      <c r="T6" s="330"/>
      <c r="U6" s="330"/>
      <c r="V6" s="330"/>
      <c r="W6" s="330"/>
      <c r="X6" s="330"/>
      <c r="Y6" s="330"/>
      <c r="Z6" s="330"/>
      <c r="AA6" s="334"/>
      <c r="AB6" s="335"/>
      <c r="AC6" s="336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301"/>
      <c r="AO6" s="252"/>
      <c r="AP6" s="252"/>
      <c r="AQ6" s="252"/>
      <c r="AR6" s="252"/>
      <c r="AS6" s="252"/>
      <c r="AT6" s="252"/>
      <c r="AU6" s="252"/>
      <c r="AV6" s="252"/>
      <c r="AW6" s="301"/>
      <c r="AX6" s="301"/>
      <c r="AY6" s="301"/>
      <c r="AZ6" s="301"/>
      <c r="BA6" s="301"/>
      <c r="BB6" s="301"/>
      <c r="BC6" s="301"/>
      <c r="BD6" s="301"/>
      <c r="BE6" s="301"/>
      <c r="BF6" s="19"/>
    </row>
    <row r="7" spans="1:58" ht="39.950000000000003" customHeight="1" x14ac:dyDescent="0.3">
      <c r="A7" s="337">
        <v>2</v>
      </c>
      <c r="B7" s="338">
        <f>IF(OR($K$3="",$C7=""),"",IFERROR(VLOOKUP($K$3&amp;$A7,Choice!$A$17:$K$217,11,FALSE),""))</f>
        <v>71</v>
      </c>
      <c r="C7" s="339" t="str">
        <f>IF($K$3="","",IFERROR(VLOOKUP($K$3&amp;$A7,Choice!$A$17:$K$217,5,FALSE),""))</f>
        <v>Malherbe Gideon</v>
      </c>
      <c r="D7" s="340" t="str">
        <f>IF(OR($K$3="",$C7=""),"",IFERROR(VLOOKUP($K$3&amp;$A7,Choice!$A$17:$K$217,6,FALSE),""))</f>
        <v>S</v>
      </c>
      <c r="E7" s="341"/>
      <c r="F7" s="342"/>
      <c r="G7" s="342"/>
      <c r="H7" s="342"/>
      <c r="I7" s="342"/>
      <c r="J7" s="342"/>
      <c r="K7" s="342"/>
      <c r="L7" s="342"/>
      <c r="M7" s="342"/>
      <c r="N7" s="343"/>
      <c r="O7" s="344"/>
      <c r="P7" s="345"/>
      <c r="Q7" s="87"/>
      <c r="R7" s="341"/>
      <c r="S7" s="342"/>
      <c r="T7" s="342"/>
      <c r="U7" s="342"/>
      <c r="V7" s="342"/>
      <c r="W7" s="342"/>
      <c r="X7" s="342"/>
      <c r="Y7" s="342"/>
      <c r="Z7" s="342"/>
      <c r="AA7" s="346"/>
      <c r="AB7" s="347"/>
      <c r="AC7" s="348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301"/>
      <c r="AO7" s="252"/>
      <c r="AP7" s="252"/>
      <c r="AQ7" s="252"/>
      <c r="AR7" s="252"/>
      <c r="AS7" s="252"/>
      <c r="AT7" s="252"/>
      <c r="AU7" s="252"/>
      <c r="AV7" s="252"/>
      <c r="AW7" s="301"/>
      <c r="AX7" s="301"/>
      <c r="AY7" s="301"/>
      <c r="AZ7" s="301"/>
      <c r="BA7" s="301"/>
      <c r="BB7" s="301"/>
      <c r="BC7" s="301"/>
      <c r="BD7" s="301"/>
      <c r="BE7" s="301"/>
      <c r="BF7" s="19"/>
    </row>
    <row r="8" spans="1:58" ht="39.950000000000003" customHeight="1" x14ac:dyDescent="0.3">
      <c r="A8" s="337">
        <v>3</v>
      </c>
      <c r="B8" s="338">
        <f>IF(OR($K$3="",$C8=""),"",IFERROR(VLOOKUP($K$3&amp;$A8,Choice!$A$17:$K$217,11,FALSE),""))</f>
        <v>87</v>
      </c>
      <c r="C8" s="339" t="str">
        <f>IF($K$3="","",IFERROR(VLOOKUP($K$3&amp;$A8,Choice!$A$17:$K$217,5,FALSE),""))</f>
        <v>Malherbe Fanie</v>
      </c>
      <c r="D8" s="340" t="str">
        <f>IF(OR($K$3="",$C8=""),"",IFERROR(VLOOKUP($K$3&amp;$A8,Choice!$A$17:$K$217,6,FALSE),""))</f>
        <v>S</v>
      </c>
      <c r="E8" s="341"/>
      <c r="F8" s="342"/>
      <c r="G8" s="342"/>
      <c r="H8" s="342"/>
      <c r="I8" s="342"/>
      <c r="J8" s="342"/>
      <c r="K8" s="342"/>
      <c r="L8" s="342"/>
      <c r="M8" s="342"/>
      <c r="N8" s="343"/>
      <c r="O8" s="344"/>
      <c r="P8" s="345"/>
      <c r="Q8" s="87"/>
      <c r="R8" s="341"/>
      <c r="S8" s="342"/>
      <c r="T8" s="342"/>
      <c r="U8" s="342"/>
      <c r="V8" s="342"/>
      <c r="W8" s="342"/>
      <c r="X8" s="342"/>
      <c r="Y8" s="342"/>
      <c r="Z8" s="342"/>
      <c r="AA8" s="346"/>
      <c r="AB8" s="347"/>
      <c r="AC8" s="348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301"/>
      <c r="AO8" s="252"/>
      <c r="AP8" s="252"/>
      <c r="AQ8" s="252"/>
      <c r="AR8" s="252"/>
      <c r="AS8" s="252"/>
      <c r="AT8" s="252"/>
      <c r="AU8" s="252"/>
      <c r="AV8" s="252"/>
      <c r="AW8" s="301"/>
      <c r="AX8" s="301"/>
      <c r="AY8" s="301"/>
      <c r="AZ8" s="301"/>
      <c r="BA8" s="301"/>
      <c r="BB8" s="301"/>
      <c r="BC8" s="301"/>
      <c r="BD8" s="301"/>
      <c r="BE8" s="301"/>
      <c r="BF8" s="19"/>
    </row>
    <row r="9" spans="1:58" ht="39.950000000000003" customHeight="1" x14ac:dyDescent="0.3">
      <c r="A9" s="337">
        <v>4</v>
      </c>
      <c r="B9" s="338">
        <f>IF(OR($K$3="",$C9=""),"",IFERROR(VLOOKUP($K$3&amp;$A9,Choice!$A$17:$K$217,11,FALSE),""))</f>
        <v>16</v>
      </c>
      <c r="C9" s="339" t="str">
        <f>IF($K$3="","",IFERROR(VLOOKUP($K$3&amp;$A9,Choice!$A$17:$K$217,5,FALSE),""))</f>
        <v>Patience Bruce</v>
      </c>
      <c r="D9" s="340" t="str">
        <f>IF(OR($K$3="",$C9=""),"",IFERROR(VLOOKUP($K$3&amp;$A9,Choice!$A$17:$K$217,6,FALSE),""))</f>
        <v>S</v>
      </c>
      <c r="E9" s="341"/>
      <c r="F9" s="342"/>
      <c r="G9" s="342"/>
      <c r="H9" s="342"/>
      <c r="I9" s="342"/>
      <c r="J9" s="342"/>
      <c r="K9" s="342"/>
      <c r="L9" s="342"/>
      <c r="M9" s="342"/>
      <c r="N9" s="343"/>
      <c r="O9" s="344"/>
      <c r="P9" s="345"/>
      <c r="Q9" s="87"/>
      <c r="R9" s="341"/>
      <c r="S9" s="342"/>
      <c r="T9" s="342"/>
      <c r="U9" s="342"/>
      <c r="V9" s="342"/>
      <c r="W9" s="342"/>
      <c r="X9" s="342"/>
      <c r="Y9" s="342"/>
      <c r="Z9" s="342"/>
      <c r="AA9" s="346"/>
      <c r="AB9" s="347"/>
      <c r="AC9" s="348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19"/>
    </row>
    <row r="10" spans="1:58" ht="39.950000000000003" customHeight="1" x14ac:dyDescent="0.3">
      <c r="A10" s="337">
        <v>5</v>
      </c>
      <c r="B10" s="338">
        <f>IF(OR($K$3="",$C10=""),"",IFERROR(VLOOKUP($K$3&amp;$A10,Choice!$A$17:$K$217,11,FALSE),""))</f>
        <v>2</v>
      </c>
      <c r="C10" s="339" t="str">
        <f>IF($K$3="","",IFERROR(VLOOKUP($K$3&amp;$A10,Choice!$A$17:$K$217,5,FALSE),""))</f>
        <v>Pienaar Schalk</v>
      </c>
      <c r="D10" s="340" t="str">
        <f>IF(OR($K$3="",$C10=""),"",IFERROR(VLOOKUP($K$3&amp;$A10,Choice!$A$17:$K$217,6,FALSE),""))</f>
        <v>S</v>
      </c>
      <c r="E10" s="341"/>
      <c r="F10" s="342"/>
      <c r="G10" s="342"/>
      <c r="H10" s="342"/>
      <c r="I10" s="342"/>
      <c r="J10" s="342"/>
      <c r="K10" s="342"/>
      <c r="L10" s="342"/>
      <c r="M10" s="342"/>
      <c r="N10" s="343"/>
      <c r="O10" s="344"/>
      <c r="P10" s="345"/>
      <c r="Q10" s="87"/>
      <c r="R10" s="341"/>
      <c r="S10" s="342"/>
      <c r="T10" s="342"/>
      <c r="U10" s="342"/>
      <c r="V10" s="342"/>
      <c r="W10" s="342"/>
      <c r="X10" s="342"/>
      <c r="Y10" s="342"/>
      <c r="Z10" s="342"/>
      <c r="AA10" s="346"/>
      <c r="AB10" s="347"/>
      <c r="AC10" s="348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19"/>
    </row>
    <row r="11" spans="1:58" ht="39.950000000000003" customHeight="1" thickBot="1" x14ac:dyDescent="0.35">
      <c r="A11" s="349">
        <v>6</v>
      </c>
      <c r="B11" s="350" t="str">
        <f>IF(OR($K$3="",$C11=""),"",IFERROR(VLOOKUP($K$3&amp;$A11,Choice!$A$17:$K$217,11,FALSE),""))</f>
        <v/>
      </c>
      <c r="C11" s="351" t="str">
        <f>IF($K$3="","",IFERROR(VLOOKUP($K$3&amp;$A11,Choice!$A$17:$K$217,5,FALSE),""))</f>
        <v/>
      </c>
      <c r="D11" s="352" t="str">
        <f>IF(OR($K$3="",$C11=""),"",IFERROR(VLOOKUP($K$3&amp;$A11,Choice!$A$17:$K$217,6,FALSE),""))</f>
        <v/>
      </c>
      <c r="E11" s="353"/>
      <c r="F11" s="354"/>
      <c r="G11" s="354"/>
      <c r="H11" s="354"/>
      <c r="I11" s="354"/>
      <c r="J11" s="354"/>
      <c r="K11" s="354"/>
      <c r="L11" s="354"/>
      <c r="M11" s="354"/>
      <c r="N11" s="355"/>
      <c r="O11" s="356"/>
      <c r="P11" s="357"/>
      <c r="Q11" s="87"/>
      <c r="R11" s="353"/>
      <c r="S11" s="354"/>
      <c r="T11" s="354"/>
      <c r="U11" s="354"/>
      <c r="V11" s="354"/>
      <c r="W11" s="354"/>
      <c r="X11" s="354"/>
      <c r="Y11" s="354"/>
      <c r="Z11" s="354"/>
      <c r="AA11" s="358"/>
      <c r="AB11" s="359"/>
      <c r="AC11" s="348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301"/>
      <c r="AO11" s="301"/>
      <c r="AP11" s="301" t="str">
        <f>IF(OR(Choice!$E$6="",Choice!E14=""),"",Choice!E14)</f>
        <v/>
      </c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  <c r="BA11" s="301"/>
      <c r="BB11" s="301"/>
      <c r="BC11" s="301"/>
      <c r="BD11" s="301"/>
      <c r="BE11" s="301"/>
      <c r="BF11" s="19"/>
    </row>
    <row r="12" spans="1:58" ht="10.5" customHeight="1" x14ac:dyDescent="0.3">
      <c r="A12" s="360"/>
      <c r="B12" s="360"/>
      <c r="C12" s="361"/>
      <c r="D12" s="362"/>
      <c r="E12" s="363"/>
      <c r="F12" s="363"/>
      <c r="G12" s="363"/>
      <c r="H12" s="363"/>
      <c r="I12" s="363"/>
      <c r="J12" s="363"/>
      <c r="K12" s="363"/>
      <c r="L12" s="363"/>
      <c r="M12" s="363"/>
      <c r="N12" s="363"/>
      <c r="O12" s="363"/>
      <c r="P12" s="363"/>
      <c r="Q12" s="87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19"/>
    </row>
    <row r="13" spans="1:58" ht="21" thickBot="1" x14ac:dyDescent="0.35">
      <c r="A13" s="116"/>
      <c r="B13" s="116"/>
      <c r="C13" s="117"/>
      <c r="D13" s="364"/>
      <c r="E13" s="365" t="s">
        <v>5</v>
      </c>
      <c r="F13" s="366"/>
      <c r="G13" s="366"/>
      <c r="H13" s="366"/>
      <c r="I13" s="87"/>
      <c r="J13" s="87"/>
      <c r="K13" s="117"/>
      <c r="L13" s="117"/>
      <c r="M13" s="117"/>
      <c r="N13" s="117"/>
      <c r="O13" s="87"/>
      <c r="P13" s="87"/>
      <c r="Q13" s="87"/>
      <c r="R13" s="117"/>
      <c r="S13" s="366"/>
      <c r="T13" s="365" t="s">
        <v>5</v>
      </c>
      <c r="U13" s="366"/>
      <c r="V13" s="366"/>
      <c r="W13" s="366"/>
      <c r="X13" s="117"/>
      <c r="Y13" s="117"/>
      <c r="Z13" s="117"/>
      <c r="AA13" s="11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301"/>
      <c r="BE13" s="301"/>
      <c r="BF13" s="19"/>
    </row>
    <row r="14" spans="1:58" ht="21" thickBot="1" x14ac:dyDescent="0.35">
      <c r="A14" s="116"/>
      <c r="B14" s="116"/>
      <c r="C14" s="123" t="s">
        <v>7</v>
      </c>
      <c r="D14" s="367"/>
      <c r="E14" s="368"/>
      <c r="F14" s="87"/>
      <c r="G14" s="123" t="s">
        <v>8</v>
      </c>
      <c r="H14" s="368"/>
      <c r="I14" s="87"/>
      <c r="J14" s="125" t="s">
        <v>9</v>
      </c>
      <c r="K14" s="369"/>
      <c r="L14" s="369"/>
      <c r="M14" s="370"/>
      <c r="N14" s="370"/>
      <c r="O14" s="87"/>
      <c r="P14" s="87"/>
      <c r="Q14" s="87"/>
      <c r="R14" s="123" t="s">
        <v>7</v>
      </c>
      <c r="S14" s="368"/>
      <c r="T14" s="87"/>
      <c r="U14" s="87"/>
      <c r="V14" s="123" t="s">
        <v>8</v>
      </c>
      <c r="W14" s="368"/>
      <c r="X14" s="87"/>
      <c r="Y14" s="125" t="s">
        <v>9</v>
      </c>
      <c r="Z14" s="369"/>
      <c r="AA14" s="369"/>
      <c r="AB14" s="370"/>
      <c r="AC14" s="370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301"/>
      <c r="AO14" s="301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  <c r="AZ14" s="301"/>
      <c r="BA14" s="301"/>
      <c r="BB14" s="301"/>
      <c r="BC14" s="301"/>
      <c r="BD14" s="301"/>
      <c r="BE14" s="301"/>
      <c r="BF14" s="19"/>
    </row>
    <row r="15" spans="1:58" ht="10.5" customHeight="1" thickBot="1" x14ac:dyDescent="0.35">
      <c r="A15" s="371"/>
      <c r="B15" s="372"/>
      <c r="C15" s="373"/>
      <c r="D15" s="374"/>
      <c r="E15" s="375"/>
      <c r="F15" s="370"/>
      <c r="G15" s="370"/>
      <c r="H15" s="370"/>
      <c r="I15" s="375"/>
      <c r="J15" s="370"/>
      <c r="K15" s="370"/>
      <c r="L15" s="373"/>
      <c r="M15" s="369"/>
      <c r="N15" s="369"/>
      <c r="O15" s="370"/>
      <c r="P15" s="370"/>
      <c r="Q15" s="370"/>
      <c r="R15" s="375"/>
      <c r="S15" s="370"/>
      <c r="T15" s="370"/>
      <c r="U15" s="370"/>
      <c r="V15" s="375"/>
      <c r="W15" s="370"/>
      <c r="X15" s="370"/>
      <c r="Y15" s="373"/>
      <c r="Z15" s="369"/>
      <c r="AA15" s="369"/>
      <c r="AB15" s="370"/>
      <c r="AC15" s="376"/>
      <c r="AD15" s="377"/>
      <c r="AE15" s="87"/>
      <c r="AF15" s="87"/>
      <c r="AG15" s="87"/>
      <c r="AH15" s="87"/>
      <c r="AI15" s="87"/>
      <c r="AJ15" s="87"/>
      <c r="AK15" s="87"/>
      <c r="AL15" s="87"/>
      <c r="AM15" s="87"/>
      <c r="AN15" s="301"/>
      <c r="AO15" s="301"/>
      <c r="AP15" s="301"/>
      <c r="AQ15" s="301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301"/>
      <c r="BC15" s="301"/>
      <c r="BD15" s="301"/>
      <c r="BE15" s="301"/>
      <c r="BF15" s="19"/>
    </row>
    <row r="16" spans="1:58" ht="8.25" customHeight="1" x14ac:dyDescent="0.3">
      <c r="A16" s="116"/>
      <c r="B16" s="116"/>
      <c r="C16" s="378"/>
      <c r="D16" s="379"/>
      <c r="E16" s="123"/>
      <c r="F16" s="363"/>
      <c r="G16" s="87"/>
      <c r="H16" s="87"/>
      <c r="I16" s="123"/>
      <c r="J16" s="363"/>
      <c r="K16" s="87"/>
      <c r="L16" s="125"/>
      <c r="M16" s="366"/>
      <c r="N16" s="366"/>
      <c r="O16" s="363"/>
      <c r="P16" s="363"/>
      <c r="Q16" s="87"/>
      <c r="R16" s="123"/>
      <c r="S16" s="363"/>
      <c r="T16" s="87"/>
      <c r="U16" s="87"/>
      <c r="V16" s="123"/>
      <c r="W16" s="363"/>
      <c r="X16" s="87"/>
      <c r="Y16" s="125"/>
      <c r="Z16" s="366"/>
      <c r="AA16" s="366"/>
      <c r="AB16" s="363"/>
      <c r="AC16" s="363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301"/>
      <c r="AO16" s="301"/>
      <c r="AP16" s="301"/>
      <c r="AQ16" s="301"/>
      <c r="AR16" s="301"/>
      <c r="AS16" s="301"/>
      <c r="AT16" s="301"/>
      <c r="AU16" s="301"/>
      <c r="AV16" s="301"/>
      <c r="AW16" s="301"/>
      <c r="AX16" s="301"/>
      <c r="AY16" s="301"/>
      <c r="AZ16" s="301"/>
      <c r="BA16" s="301"/>
      <c r="BB16" s="301"/>
      <c r="BC16" s="301"/>
      <c r="BD16" s="301"/>
      <c r="BE16" s="301"/>
      <c r="BF16" s="19"/>
    </row>
    <row r="17" spans="1:58" ht="24" thickBot="1" x14ac:dyDescent="0.4">
      <c r="A17" s="311"/>
      <c r="B17" s="311"/>
      <c r="C17" s="380"/>
      <c r="D17" s="381"/>
      <c r="E17" s="366"/>
      <c r="F17" s="366"/>
      <c r="G17" s="366"/>
      <c r="H17" s="366"/>
      <c r="I17" s="259"/>
      <c r="J17" s="9" t="s">
        <v>1</v>
      </c>
      <c r="K17" s="303">
        <f>IF(K3="","",K3)</f>
        <v>1</v>
      </c>
      <c r="L17" s="87"/>
      <c r="M17" s="304"/>
      <c r="N17" s="119" t="s">
        <v>24</v>
      </c>
      <c r="O17" s="47"/>
      <c r="P17" s="87"/>
      <c r="Q17" s="382"/>
      <c r="R17" s="363"/>
      <c r="S17" s="363"/>
      <c r="T17" s="363"/>
      <c r="U17" s="382"/>
      <c r="V17" s="363"/>
      <c r="W17" s="363"/>
      <c r="X17" s="87"/>
      <c r="Y17" s="304"/>
      <c r="Z17" s="87"/>
      <c r="AA17" s="119" t="s">
        <v>24</v>
      </c>
      <c r="AB17" s="47"/>
      <c r="AC17" s="383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301"/>
      <c r="AO17" s="301"/>
      <c r="AP17" s="301"/>
      <c r="AQ17" s="301"/>
      <c r="AR17" s="301"/>
      <c r="AS17" s="301"/>
      <c r="AT17" s="301"/>
      <c r="AU17" s="301"/>
      <c r="AV17" s="301"/>
      <c r="AW17" s="301"/>
      <c r="AX17" s="301"/>
      <c r="AY17" s="301"/>
      <c r="AZ17" s="301"/>
      <c r="BA17" s="301"/>
      <c r="BB17" s="301"/>
      <c r="BC17" s="301"/>
      <c r="BD17" s="301"/>
      <c r="BE17" s="301"/>
      <c r="BF17" s="19"/>
    </row>
    <row r="18" spans="1:58" ht="11.25" customHeight="1" thickBot="1" x14ac:dyDescent="0.4">
      <c r="A18" s="311"/>
      <c r="B18" s="311"/>
      <c r="C18" s="380"/>
      <c r="D18" s="381"/>
      <c r="E18" s="366"/>
      <c r="F18" s="366"/>
      <c r="G18" s="366"/>
      <c r="H18" s="366"/>
      <c r="I18" s="366"/>
      <c r="J18" s="363"/>
      <c r="K18" s="363"/>
      <c r="L18" s="363"/>
      <c r="M18" s="304"/>
      <c r="N18" s="119"/>
      <c r="O18" s="384"/>
      <c r="P18" s="384"/>
      <c r="Q18" s="382"/>
      <c r="R18" s="363"/>
      <c r="S18" s="363"/>
      <c r="T18" s="363"/>
      <c r="U18" s="382"/>
      <c r="V18" s="363"/>
      <c r="W18" s="363"/>
      <c r="X18" s="87"/>
      <c r="Y18" s="304"/>
      <c r="Z18" s="119"/>
      <c r="AA18" s="384"/>
      <c r="AB18" s="305"/>
      <c r="AC18" s="383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301"/>
      <c r="AO18" s="301"/>
      <c r="AP18" s="301"/>
      <c r="AQ18" s="301"/>
      <c r="AR18" s="301"/>
      <c r="AS18" s="301"/>
      <c r="AT18" s="301"/>
      <c r="AU18" s="301"/>
      <c r="AV18" s="301"/>
      <c r="AW18" s="301"/>
      <c r="AX18" s="301"/>
      <c r="AY18" s="301"/>
      <c r="AZ18" s="301"/>
      <c r="BA18" s="301"/>
      <c r="BB18" s="301"/>
      <c r="BC18" s="301"/>
      <c r="BD18" s="301"/>
      <c r="BE18" s="301"/>
      <c r="BF18" s="19"/>
    </row>
    <row r="19" spans="1:58" ht="16.5" thickBot="1" x14ac:dyDescent="0.3">
      <c r="A19" s="314" t="s">
        <v>22</v>
      </c>
      <c r="B19" s="315" t="s">
        <v>37</v>
      </c>
      <c r="C19" s="316" t="s">
        <v>3</v>
      </c>
      <c r="D19" s="385" t="s">
        <v>38</v>
      </c>
      <c r="E19" s="324">
        <v>1</v>
      </c>
      <c r="F19" s="319">
        <v>2</v>
      </c>
      <c r="G19" s="319">
        <v>3</v>
      </c>
      <c r="H19" s="319">
        <v>4</v>
      </c>
      <c r="I19" s="319">
        <v>5</v>
      </c>
      <c r="J19" s="319">
        <v>6</v>
      </c>
      <c r="K19" s="319">
        <v>7</v>
      </c>
      <c r="L19" s="319">
        <v>8</v>
      </c>
      <c r="M19" s="319">
        <v>9</v>
      </c>
      <c r="N19" s="320">
        <v>10</v>
      </c>
      <c r="O19" s="321" t="s">
        <v>4</v>
      </c>
      <c r="P19" s="322" t="s">
        <v>23</v>
      </c>
      <c r="Q19" s="386"/>
      <c r="R19" s="324">
        <v>1</v>
      </c>
      <c r="S19" s="319">
        <v>2</v>
      </c>
      <c r="T19" s="319">
        <v>3</v>
      </c>
      <c r="U19" s="319">
        <v>4</v>
      </c>
      <c r="V19" s="319">
        <v>5</v>
      </c>
      <c r="W19" s="319">
        <v>6</v>
      </c>
      <c r="X19" s="319">
        <v>7</v>
      </c>
      <c r="Y19" s="319">
        <v>8</v>
      </c>
      <c r="Z19" s="319">
        <v>9</v>
      </c>
      <c r="AA19" s="325">
        <v>10</v>
      </c>
      <c r="AB19" s="321" t="s">
        <v>4</v>
      </c>
      <c r="AC19" s="322" t="s">
        <v>23</v>
      </c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19"/>
    </row>
    <row r="20" spans="1:58" ht="39.950000000000003" customHeight="1" x14ac:dyDescent="0.3">
      <c r="A20" s="326">
        <v>1</v>
      </c>
      <c r="B20" s="327">
        <f>IF(B6="","",B6)</f>
        <v>57</v>
      </c>
      <c r="C20" s="328" t="str">
        <f t="shared" ref="C20:D20" si="0">IF(C6="","",C6)</f>
        <v>Bornman Cornel</v>
      </c>
      <c r="D20" s="387" t="str">
        <f t="shared" si="0"/>
        <v>S</v>
      </c>
      <c r="E20" s="329"/>
      <c r="F20" s="330"/>
      <c r="G20" s="330"/>
      <c r="H20" s="330"/>
      <c r="I20" s="330"/>
      <c r="J20" s="330"/>
      <c r="K20" s="330"/>
      <c r="L20" s="330"/>
      <c r="M20" s="330"/>
      <c r="N20" s="331"/>
      <c r="O20" s="332"/>
      <c r="P20" s="333"/>
      <c r="Q20" s="386"/>
      <c r="R20" s="329"/>
      <c r="S20" s="330"/>
      <c r="T20" s="330"/>
      <c r="U20" s="330"/>
      <c r="V20" s="330"/>
      <c r="W20" s="330"/>
      <c r="X20" s="330"/>
      <c r="Y20" s="330"/>
      <c r="Z20" s="330"/>
      <c r="AA20" s="334"/>
      <c r="AB20" s="335"/>
      <c r="AC20" s="336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301"/>
      <c r="AO20" s="301"/>
      <c r="AP20" s="301"/>
      <c r="AQ20" s="301"/>
      <c r="AR20" s="301"/>
      <c r="AS20" s="301"/>
      <c r="AT20" s="301"/>
      <c r="AU20" s="301"/>
      <c r="AV20" s="301"/>
      <c r="AW20" s="301"/>
      <c r="AX20" s="301"/>
      <c r="AY20" s="301"/>
      <c r="AZ20" s="301"/>
      <c r="BA20" s="301"/>
      <c r="BB20" s="301"/>
      <c r="BC20" s="301"/>
      <c r="BD20" s="301"/>
      <c r="BE20" s="301"/>
      <c r="BF20" s="19"/>
    </row>
    <row r="21" spans="1:58" ht="39.950000000000003" customHeight="1" x14ac:dyDescent="0.3">
      <c r="A21" s="337">
        <v>2</v>
      </c>
      <c r="B21" s="338">
        <f t="shared" ref="B21:D21" si="1">IF(B7="","",B7)</f>
        <v>71</v>
      </c>
      <c r="C21" s="339" t="str">
        <f t="shared" si="1"/>
        <v>Malherbe Gideon</v>
      </c>
      <c r="D21" s="340" t="str">
        <f t="shared" si="1"/>
        <v>S</v>
      </c>
      <c r="E21" s="341"/>
      <c r="F21" s="342"/>
      <c r="G21" s="342"/>
      <c r="H21" s="342"/>
      <c r="I21" s="342"/>
      <c r="J21" s="342"/>
      <c r="K21" s="342"/>
      <c r="L21" s="342"/>
      <c r="M21" s="342"/>
      <c r="N21" s="343"/>
      <c r="O21" s="344"/>
      <c r="P21" s="345"/>
      <c r="Q21" s="386"/>
      <c r="R21" s="341"/>
      <c r="S21" s="342"/>
      <c r="T21" s="342"/>
      <c r="U21" s="342"/>
      <c r="V21" s="342"/>
      <c r="W21" s="342"/>
      <c r="X21" s="342"/>
      <c r="Y21" s="342"/>
      <c r="Z21" s="342"/>
      <c r="AA21" s="346"/>
      <c r="AB21" s="347"/>
      <c r="AC21" s="348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301"/>
      <c r="AO21" s="301"/>
      <c r="AP21" s="301"/>
      <c r="AQ21" s="301"/>
      <c r="AR21" s="301"/>
      <c r="AS21" s="301"/>
      <c r="AT21" s="301"/>
      <c r="AU21" s="301"/>
      <c r="AV21" s="301"/>
      <c r="AW21" s="301"/>
      <c r="AX21" s="301"/>
      <c r="AY21" s="301"/>
      <c r="AZ21" s="301"/>
      <c r="BA21" s="301"/>
      <c r="BB21" s="301"/>
      <c r="BC21" s="301"/>
      <c r="BD21" s="301"/>
      <c r="BE21" s="301"/>
      <c r="BF21" s="19"/>
    </row>
    <row r="22" spans="1:58" ht="39.950000000000003" customHeight="1" x14ac:dyDescent="0.3">
      <c r="A22" s="337">
        <v>3</v>
      </c>
      <c r="B22" s="338">
        <f t="shared" ref="B22:D22" si="2">IF(B8="","",B8)</f>
        <v>87</v>
      </c>
      <c r="C22" s="339" t="str">
        <f t="shared" si="2"/>
        <v>Malherbe Fanie</v>
      </c>
      <c r="D22" s="340" t="str">
        <f t="shared" si="2"/>
        <v>S</v>
      </c>
      <c r="E22" s="341"/>
      <c r="F22" s="342"/>
      <c r="G22" s="342"/>
      <c r="H22" s="342"/>
      <c r="I22" s="342"/>
      <c r="J22" s="342"/>
      <c r="K22" s="342"/>
      <c r="L22" s="342"/>
      <c r="M22" s="342"/>
      <c r="N22" s="343"/>
      <c r="O22" s="344"/>
      <c r="P22" s="345"/>
      <c r="Q22" s="386"/>
      <c r="R22" s="341"/>
      <c r="S22" s="342"/>
      <c r="T22" s="342"/>
      <c r="U22" s="342"/>
      <c r="V22" s="342"/>
      <c r="W22" s="342"/>
      <c r="X22" s="342"/>
      <c r="Y22" s="342"/>
      <c r="Z22" s="342"/>
      <c r="AA22" s="346"/>
      <c r="AB22" s="347"/>
      <c r="AC22" s="348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301"/>
      <c r="AO22" s="301"/>
      <c r="AP22" s="301"/>
      <c r="AQ22" s="301"/>
      <c r="AR22" s="301"/>
      <c r="AS22" s="301"/>
      <c r="AT22" s="301"/>
      <c r="AU22" s="301"/>
      <c r="AV22" s="301"/>
      <c r="AW22" s="301"/>
      <c r="AX22" s="301"/>
      <c r="AY22" s="301"/>
      <c r="AZ22" s="301"/>
      <c r="BA22" s="301"/>
      <c r="BB22" s="301"/>
      <c r="BC22" s="301"/>
      <c r="BD22" s="301"/>
      <c r="BE22" s="301"/>
      <c r="BF22" s="19"/>
    </row>
    <row r="23" spans="1:58" ht="39.950000000000003" customHeight="1" x14ac:dyDescent="0.3">
      <c r="A23" s="337">
        <v>4</v>
      </c>
      <c r="B23" s="338">
        <f t="shared" ref="B23:D23" si="3">IF(B9="","",B9)</f>
        <v>16</v>
      </c>
      <c r="C23" s="339" t="str">
        <f t="shared" si="3"/>
        <v>Patience Bruce</v>
      </c>
      <c r="D23" s="340" t="str">
        <f t="shared" si="3"/>
        <v>S</v>
      </c>
      <c r="E23" s="341"/>
      <c r="F23" s="342"/>
      <c r="G23" s="342"/>
      <c r="H23" s="342"/>
      <c r="I23" s="342"/>
      <c r="J23" s="342"/>
      <c r="K23" s="342"/>
      <c r="L23" s="342"/>
      <c r="M23" s="342"/>
      <c r="N23" s="343"/>
      <c r="O23" s="344"/>
      <c r="P23" s="345"/>
      <c r="Q23" s="386"/>
      <c r="R23" s="341"/>
      <c r="S23" s="342"/>
      <c r="T23" s="342"/>
      <c r="U23" s="342"/>
      <c r="V23" s="342"/>
      <c r="W23" s="342"/>
      <c r="X23" s="342"/>
      <c r="Y23" s="342"/>
      <c r="Z23" s="342"/>
      <c r="AA23" s="346"/>
      <c r="AB23" s="347"/>
      <c r="AC23" s="348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301"/>
      <c r="AO23" s="301"/>
      <c r="AP23" s="301"/>
      <c r="AQ23" s="301"/>
      <c r="AR23" s="301"/>
      <c r="AS23" s="301"/>
      <c r="AT23" s="301"/>
      <c r="AU23" s="301"/>
      <c r="AV23" s="301"/>
      <c r="AW23" s="301"/>
      <c r="AX23" s="301"/>
      <c r="AY23" s="301"/>
      <c r="AZ23" s="301"/>
      <c r="BA23" s="301"/>
      <c r="BB23" s="301"/>
      <c r="BC23" s="301"/>
      <c r="BD23" s="301"/>
      <c r="BE23" s="301"/>
      <c r="BF23" s="19"/>
    </row>
    <row r="24" spans="1:58" ht="39.950000000000003" customHeight="1" x14ac:dyDescent="0.3">
      <c r="A24" s="337">
        <v>5</v>
      </c>
      <c r="B24" s="338">
        <f t="shared" ref="B24:D24" si="4">IF(B10="","",B10)</f>
        <v>2</v>
      </c>
      <c r="C24" s="339" t="str">
        <f t="shared" si="4"/>
        <v>Pienaar Schalk</v>
      </c>
      <c r="D24" s="340" t="str">
        <f t="shared" si="4"/>
        <v>S</v>
      </c>
      <c r="E24" s="341"/>
      <c r="F24" s="342"/>
      <c r="G24" s="342"/>
      <c r="H24" s="342"/>
      <c r="I24" s="342"/>
      <c r="J24" s="342"/>
      <c r="K24" s="342"/>
      <c r="L24" s="342"/>
      <c r="M24" s="342"/>
      <c r="N24" s="343"/>
      <c r="O24" s="344"/>
      <c r="P24" s="345"/>
      <c r="Q24" s="386"/>
      <c r="R24" s="341"/>
      <c r="S24" s="342"/>
      <c r="T24" s="342"/>
      <c r="U24" s="342"/>
      <c r="V24" s="342"/>
      <c r="W24" s="342"/>
      <c r="X24" s="342"/>
      <c r="Y24" s="342"/>
      <c r="Z24" s="342"/>
      <c r="AA24" s="346"/>
      <c r="AB24" s="347"/>
      <c r="AC24" s="348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19"/>
    </row>
    <row r="25" spans="1:58" ht="39.950000000000003" customHeight="1" thickBot="1" x14ac:dyDescent="0.35">
      <c r="A25" s="349">
        <v>6</v>
      </c>
      <c r="B25" s="350" t="str">
        <f t="shared" ref="B25:D25" si="5">IF(B11="","",B11)</f>
        <v/>
      </c>
      <c r="C25" s="351" t="str">
        <f t="shared" si="5"/>
        <v/>
      </c>
      <c r="D25" s="352" t="str">
        <f t="shared" si="5"/>
        <v/>
      </c>
      <c r="E25" s="353"/>
      <c r="F25" s="354"/>
      <c r="G25" s="354"/>
      <c r="H25" s="354"/>
      <c r="I25" s="354"/>
      <c r="J25" s="354"/>
      <c r="K25" s="354"/>
      <c r="L25" s="354"/>
      <c r="M25" s="354"/>
      <c r="N25" s="355"/>
      <c r="O25" s="356"/>
      <c r="P25" s="357"/>
      <c r="Q25" s="386"/>
      <c r="R25" s="353"/>
      <c r="S25" s="354"/>
      <c r="T25" s="354"/>
      <c r="U25" s="354"/>
      <c r="V25" s="354"/>
      <c r="W25" s="354"/>
      <c r="X25" s="354"/>
      <c r="Y25" s="354"/>
      <c r="Z25" s="354"/>
      <c r="AA25" s="358"/>
      <c r="AB25" s="359"/>
      <c r="AC25" s="348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301"/>
      <c r="AO25" s="301"/>
      <c r="AP25" s="301"/>
      <c r="AQ25" s="301"/>
      <c r="AR25" s="301"/>
      <c r="AS25" s="301"/>
      <c r="AT25" s="301"/>
      <c r="AU25" s="301"/>
      <c r="AV25" s="301"/>
      <c r="AW25" s="301"/>
      <c r="AX25" s="301"/>
      <c r="AY25" s="301"/>
      <c r="AZ25" s="301"/>
      <c r="BA25" s="301"/>
      <c r="BB25" s="301"/>
      <c r="BC25" s="301"/>
      <c r="BD25" s="301"/>
      <c r="BE25" s="301"/>
      <c r="BF25" s="19"/>
    </row>
    <row r="26" spans="1:58" ht="21" thickBot="1" x14ac:dyDescent="0.35">
      <c r="A26" s="87"/>
      <c r="B26" s="87"/>
      <c r="C26" s="117"/>
      <c r="D26" s="364"/>
      <c r="E26" s="365" t="s">
        <v>5</v>
      </c>
      <c r="F26" s="366"/>
      <c r="G26" s="366"/>
      <c r="H26" s="366"/>
      <c r="I26" s="87"/>
      <c r="J26" s="87"/>
      <c r="K26" s="117"/>
      <c r="L26" s="117"/>
      <c r="M26" s="117"/>
      <c r="N26" s="117"/>
      <c r="O26" s="87"/>
      <c r="P26" s="87"/>
      <c r="Q26" s="117"/>
      <c r="R26" s="117"/>
      <c r="S26" s="366"/>
      <c r="T26" s="365" t="s">
        <v>5</v>
      </c>
      <c r="U26" s="366"/>
      <c r="V26" s="366"/>
      <c r="W26" s="366"/>
      <c r="X26" s="117"/>
      <c r="Y26" s="117"/>
      <c r="Z26" s="117"/>
      <c r="AA26" s="11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301"/>
      <c r="AO26" s="301"/>
      <c r="AP26" s="301"/>
      <c r="AQ26" s="301"/>
      <c r="AR26" s="301"/>
      <c r="AS26" s="301"/>
      <c r="AT26" s="301"/>
      <c r="AU26" s="301"/>
      <c r="AV26" s="301"/>
      <c r="AW26" s="301"/>
      <c r="AX26" s="301"/>
      <c r="AY26" s="301"/>
      <c r="AZ26" s="301"/>
      <c r="BA26" s="301"/>
      <c r="BB26" s="301"/>
      <c r="BC26" s="301"/>
      <c r="BD26" s="301"/>
      <c r="BE26" s="301"/>
      <c r="BF26" s="19"/>
    </row>
    <row r="27" spans="1:58" ht="21" thickBot="1" x14ac:dyDescent="0.35">
      <c r="A27" s="87"/>
      <c r="B27" s="87"/>
      <c r="C27" s="123" t="s">
        <v>7</v>
      </c>
      <c r="D27" s="367"/>
      <c r="E27" s="368"/>
      <c r="F27" s="87"/>
      <c r="G27" s="123" t="s">
        <v>8</v>
      </c>
      <c r="H27" s="368"/>
      <c r="I27" s="87"/>
      <c r="J27" s="125" t="s">
        <v>9</v>
      </c>
      <c r="K27" s="369"/>
      <c r="L27" s="369"/>
      <c r="M27" s="370"/>
      <c r="N27" s="370"/>
      <c r="O27" s="87"/>
      <c r="P27" s="87"/>
      <c r="Q27" s="87"/>
      <c r="R27" s="123" t="s">
        <v>7</v>
      </c>
      <c r="S27" s="368"/>
      <c r="T27" s="87"/>
      <c r="U27" s="87"/>
      <c r="V27" s="123" t="s">
        <v>8</v>
      </c>
      <c r="W27" s="368"/>
      <c r="X27" s="87"/>
      <c r="Y27" s="125" t="s">
        <v>9</v>
      </c>
      <c r="Z27" s="369"/>
      <c r="AA27" s="369"/>
      <c r="AB27" s="370"/>
      <c r="AC27" s="370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301"/>
      <c r="AO27" s="301"/>
      <c r="AP27" s="301"/>
      <c r="AQ27" s="301"/>
      <c r="AR27" s="301"/>
      <c r="AS27" s="301"/>
      <c r="AT27" s="301"/>
      <c r="AU27" s="301"/>
      <c r="AV27" s="301"/>
      <c r="AW27" s="301"/>
      <c r="AX27" s="301"/>
      <c r="AY27" s="301"/>
      <c r="AZ27" s="301"/>
      <c r="BA27" s="301"/>
      <c r="BB27" s="301"/>
      <c r="BC27" s="301"/>
      <c r="BD27" s="301"/>
      <c r="BE27" s="301"/>
      <c r="BF27" s="19"/>
    </row>
    <row r="28" spans="1:58" x14ac:dyDescent="0.2">
      <c r="A28" s="87"/>
      <c r="B28" s="87"/>
      <c r="C28" s="87"/>
      <c r="D28" s="11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</row>
    <row r="29" spans="1:58" x14ac:dyDescent="0.2">
      <c r="A29" s="87"/>
      <c r="B29" s="87"/>
      <c r="C29" s="87"/>
      <c r="D29" s="11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</row>
    <row r="30" spans="1:58" x14ac:dyDescent="0.2">
      <c r="A30" s="87"/>
      <c r="B30" s="87"/>
      <c r="C30" s="87"/>
      <c r="D30" s="11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</row>
    <row r="31" spans="1:58" x14ac:dyDescent="0.2">
      <c r="A31" s="87"/>
      <c r="B31" s="87"/>
      <c r="C31" s="87"/>
      <c r="D31" s="11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</row>
    <row r="32" spans="1:58" x14ac:dyDescent="0.2">
      <c r="A32" s="87"/>
      <c r="B32" s="87"/>
      <c r="C32" s="87"/>
      <c r="D32" s="11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</row>
    <row r="33" spans="1:57" x14ac:dyDescent="0.2">
      <c r="A33" s="87"/>
      <c r="B33" s="87"/>
      <c r="C33" s="87"/>
      <c r="D33" s="11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</row>
    <row r="34" spans="1:57" x14ac:dyDescent="0.2">
      <c r="A34" s="87"/>
      <c r="B34" s="87"/>
      <c r="C34" s="87"/>
      <c r="D34" s="11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</row>
  </sheetData>
  <sheetProtection algorithmName="SHA-512" hashValue="yywr9qqMgWYr+ZBqNAfUvwh3D7xjKYUHe+23OGtw6hthK0ORy7R/K+0JsVWy3YVAYyXj4m16QJfPwoUp3t3Z2g==" saltValue="ocMbZXyVAgHbPmx/+VgTvg==" spinCount="100000" sheet="1" objects="1" scenarios="1" selectLockedCells="1"/>
  <mergeCells count="1">
    <mergeCell ref="E3:F3"/>
  </mergeCells>
  <phoneticPr fontId="0" type="noConversion"/>
  <pageMargins left="0.59055118110236227" right="0.59055118110236227" top="0.82677165354330717" bottom="0.69" header="0.51181102362204722" footer="0.51181102362204722"/>
  <pageSetup paperSize="9" scale="67" orientation="landscape" horizontalDpi="300" verticalDpi="300" r:id="rId1"/>
  <headerFooter alignWithMargins="0">
    <oddHeader>&amp;C&amp;"Arial,Bold"&amp;24English Sporting</oddHeader>
    <oddFooter>&amp;LCopyright:  All rights reserved&amp;CB F Black (082 517 5710)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E27"/>
  <sheetViews>
    <sheetView showGridLines="0" showRowColHeaders="0" showZeros="0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6.28515625" style="1" customWidth="1"/>
    <col min="3" max="3" width="28.140625" style="1" customWidth="1"/>
    <col min="4" max="4" width="4.7109375" style="1" customWidth="1"/>
    <col min="5" max="25" width="5.85546875" style="1" customWidth="1"/>
    <col min="26" max="26" width="5.28515625" style="1" customWidth="1"/>
    <col min="27" max="27" width="6.42578125" style="1" customWidth="1"/>
    <col min="28" max="29" width="5.85546875" style="1" customWidth="1"/>
    <col min="30" max="30" width="9.85546875" style="1" customWidth="1"/>
    <col min="31" max="31" width="8.42578125" style="1" customWidth="1"/>
    <col min="32" max="35" width="4" style="1" customWidth="1"/>
    <col min="36" max="36" width="4" style="2" customWidth="1"/>
    <col min="37" max="39" width="5.28515625" customWidth="1"/>
    <col min="42" max="42" width="10.85546875" customWidth="1"/>
    <col min="43" max="43" width="10.28515625" style="1"/>
    <col min="44" max="44" width="12.5703125" style="1" customWidth="1"/>
    <col min="45" max="48" width="10.28515625" style="1"/>
    <col min="49" max="49" width="20.7109375" style="1" customWidth="1"/>
    <col min="50" max="16384" width="10.28515625" style="1"/>
  </cols>
  <sheetData>
    <row r="1" spans="1:57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78"/>
      <c r="O1" s="251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126"/>
      <c r="AI1" s="126"/>
      <c r="AJ1" s="128"/>
      <c r="AK1" s="87"/>
      <c r="AL1" s="87"/>
      <c r="AM1" s="87"/>
      <c r="AN1" s="87"/>
      <c r="AO1" s="252"/>
      <c r="AP1" s="252"/>
      <c r="AQ1" s="217"/>
      <c r="AR1" s="217"/>
      <c r="AS1" s="217"/>
      <c r="AT1" s="217">
        <v>1</v>
      </c>
      <c r="AU1" s="217" t="s">
        <v>101</v>
      </c>
      <c r="AV1" s="217"/>
      <c r="AW1" s="217"/>
      <c r="AX1" s="217"/>
      <c r="AY1" s="217"/>
      <c r="AZ1" s="217"/>
      <c r="BA1" s="217"/>
      <c r="BB1" s="50"/>
      <c r="BC1" s="50"/>
      <c r="BD1" s="50"/>
    </row>
    <row r="2" spans="1:57" ht="30" x14ac:dyDescent="0.4">
      <c r="A2" s="87"/>
      <c r="B2" s="87"/>
      <c r="C2" s="253"/>
      <c r="D2" s="87"/>
      <c r="E2" s="87"/>
      <c r="F2" s="87"/>
      <c r="G2" s="87"/>
      <c r="H2" s="87"/>
      <c r="I2" s="87"/>
      <c r="J2" s="254"/>
      <c r="K2" s="255"/>
      <c r="L2" s="255"/>
      <c r="M2" s="255"/>
      <c r="N2" s="255"/>
      <c r="O2" s="255"/>
      <c r="P2" s="255"/>
      <c r="Q2" s="255"/>
      <c r="R2" s="87"/>
      <c r="S2" s="87"/>
      <c r="T2" s="87"/>
      <c r="U2" s="87"/>
      <c r="V2" s="87"/>
      <c r="W2" s="87"/>
      <c r="X2" s="87"/>
      <c r="Y2" s="87"/>
      <c r="Z2" s="125"/>
      <c r="AA2" s="87"/>
      <c r="AB2" s="87"/>
      <c r="AC2" s="87"/>
      <c r="AD2" s="87"/>
      <c r="AE2" s="87"/>
      <c r="AF2" s="256"/>
      <c r="AG2" s="256"/>
      <c r="AH2" s="256"/>
      <c r="AI2" s="256"/>
      <c r="AJ2" s="256"/>
      <c r="AK2" s="256"/>
      <c r="AL2" s="256"/>
      <c r="AM2" s="256"/>
      <c r="AN2" s="256"/>
      <c r="AO2" s="257"/>
      <c r="AP2" s="257"/>
      <c r="AQ2" s="257"/>
      <c r="AR2" s="257"/>
      <c r="AS2" s="257"/>
      <c r="AT2" s="257">
        <v>2</v>
      </c>
      <c r="AU2" s="257" t="s">
        <v>48</v>
      </c>
      <c r="AV2" s="257"/>
      <c r="AW2" s="257"/>
      <c r="AX2" s="257"/>
      <c r="AY2" s="257"/>
      <c r="AZ2" s="257"/>
      <c r="BA2" s="257"/>
      <c r="BB2" s="21"/>
      <c r="BC2" s="21"/>
      <c r="BD2" s="21"/>
      <c r="BE2" s="21"/>
    </row>
    <row r="3" spans="1:57" ht="19.5" thickBot="1" x14ac:dyDescent="0.35">
      <c r="A3" s="258"/>
      <c r="B3" s="259"/>
      <c r="C3" s="260"/>
      <c r="D3" s="261" t="s">
        <v>21</v>
      </c>
      <c r="E3" s="499">
        <f>IF(Choice!H4="","",Choice!H4)</f>
        <v>43743</v>
      </c>
      <c r="F3" s="500"/>
      <c r="G3" s="500"/>
      <c r="H3" s="256"/>
      <c r="I3" s="256"/>
      <c r="J3" s="256"/>
      <c r="K3" s="256"/>
      <c r="L3" s="256"/>
      <c r="M3" s="256"/>
      <c r="N3" s="256"/>
      <c r="O3" s="262">
        <v>1</v>
      </c>
      <c r="P3" s="256"/>
      <c r="Q3" s="256"/>
      <c r="R3" s="256"/>
      <c r="S3" s="256"/>
      <c r="T3" s="256"/>
      <c r="U3" s="256"/>
      <c r="V3" s="256"/>
      <c r="W3" s="263"/>
      <c r="X3" s="259" t="s">
        <v>33</v>
      </c>
      <c r="Y3" s="72">
        <v>1</v>
      </c>
      <c r="Z3" s="263"/>
      <c r="AA3" s="259" t="s">
        <v>34</v>
      </c>
      <c r="AB3" s="45"/>
      <c r="AC3" s="263"/>
      <c r="AD3" s="259" t="s">
        <v>35</v>
      </c>
      <c r="AE3" s="45"/>
      <c r="AF3" s="256"/>
      <c r="AG3" s="256"/>
      <c r="AH3" s="256"/>
      <c r="AI3" s="256"/>
      <c r="AJ3" s="256"/>
      <c r="AK3" s="256"/>
      <c r="AL3" s="256"/>
      <c r="AM3" s="256"/>
      <c r="AN3" s="256"/>
      <c r="AO3" s="257"/>
      <c r="AP3" s="257">
        <f>AT4</f>
        <v>3</v>
      </c>
      <c r="AQ3" s="257" t="s">
        <v>39</v>
      </c>
      <c r="AR3" s="257"/>
      <c r="AS3" s="257"/>
      <c r="AT3" s="257">
        <v>3</v>
      </c>
      <c r="AU3" s="257" t="s">
        <v>102</v>
      </c>
      <c r="AV3" s="257"/>
      <c r="AW3" s="257"/>
      <c r="AX3" s="257"/>
      <c r="AY3" s="257"/>
      <c r="AZ3" s="257"/>
      <c r="BA3" s="257"/>
      <c r="BB3" s="21"/>
      <c r="BC3" s="21"/>
      <c r="BD3" s="21"/>
      <c r="BE3" s="21"/>
    </row>
    <row r="4" spans="1:57" ht="16.5" thickBot="1" x14ac:dyDescent="0.3">
      <c r="A4" s="258"/>
      <c r="B4" s="258"/>
      <c r="C4" s="259"/>
      <c r="D4" s="259"/>
      <c r="E4" s="260"/>
      <c r="F4" s="258"/>
      <c r="G4" s="258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64"/>
      <c r="AA4" s="265"/>
      <c r="AB4" s="256"/>
      <c r="AC4" s="26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7"/>
      <c r="AP4" s="257">
        <f>AE3</f>
        <v>0</v>
      </c>
      <c r="AQ4" s="257" t="s">
        <v>44</v>
      </c>
      <c r="AR4" s="257"/>
      <c r="AS4" s="257"/>
      <c r="AT4" s="257">
        <v>3</v>
      </c>
      <c r="AU4" s="257" t="str">
        <f>VLOOKUP(AT4,AT1:AU3,2,FALSE)</f>
        <v>Anti-Clockwise</v>
      </c>
      <c r="AV4" s="257"/>
      <c r="AW4" s="257"/>
      <c r="AX4" s="257"/>
      <c r="AY4" s="257"/>
      <c r="AZ4" s="257"/>
      <c r="BA4" s="257"/>
      <c r="BB4" s="21"/>
      <c r="BC4" s="21"/>
      <c r="BD4" s="21"/>
      <c r="BE4" s="21"/>
    </row>
    <row r="5" spans="1:57" ht="39.950000000000003" customHeight="1" thickBot="1" x14ac:dyDescent="0.3">
      <c r="A5" s="99" t="s">
        <v>36</v>
      </c>
      <c r="B5" s="267" t="s">
        <v>37</v>
      </c>
      <c r="C5" s="101" t="s">
        <v>3</v>
      </c>
      <c r="D5" s="102" t="s">
        <v>38</v>
      </c>
      <c r="E5" s="268">
        <v>1</v>
      </c>
      <c r="F5" s="269">
        <v>2</v>
      </c>
      <c r="G5" s="269">
        <v>3</v>
      </c>
      <c r="H5" s="269">
        <v>4</v>
      </c>
      <c r="I5" s="269">
        <v>5</v>
      </c>
      <c r="J5" s="269">
        <v>6</v>
      </c>
      <c r="K5" s="269">
        <v>7</v>
      </c>
      <c r="L5" s="269">
        <v>8</v>
      </c>
      <c r="M5" s="269">
        <v>9</v>
      </c>
      <c r="N5" s="269">
        <v>10</v>
      </c>
      <c r="O5" s="269">
        <v>11</v>
      </c>
      <c r="P5" s="269">
        <v>12</v>
      </c>
      <c r="Q5" s="269">
        <v>13</v>
      </c>
      <c r="R5" s="269">
        <v>14</v>
      </c>
      <c r="S5" s="269">
        <v>15</v>
      </c>
      <c r="T5" s="269">
        <v>16</v>
      </c>
      <c r="U5" s="269">
        <v>17</v>
      </c>
      <c r="V5" s="269">
        <v>18</v>
      </c>
      <c r="W5" s="269">
        <v>19</v>
      </c>
      <c r="X5" s="269">
        <v>20</v>
      </c>
      <c r="Y5" s="269">
        <v>21</v>
      </c>
      <c r="Z5" s="269">
        <v>22</v>
      </c>
      <c r="AA5" s="269">
        <v>23</v>
      </c>
      <c r="AB5" s="269">
        <v>24</v>
      </c>
      <c r="AC5" s="270">
        <v>25</v>
      </c>
      <c r="AD5" s="271" t="s">
        <v>4</v>
      </c>
      <c r="AE5" s="271" t="s">
        <v>23</v>
      </c>
      <c r="AF5" s="256"/>
      <c r="AG5" s="256"/>
      <c r="AH5" s="256"/>
      <c r="AI5" s="256"/>
      <c r="AJ5" s="256"/>
      <c r="AK5" s="256"/>
      <c r="AL5" s="256"/>
      <c r="AM5" s="256"/>
      <c r="AN5" s="256"/>
      <c r="AO5" s="257"/>
      <c r="AP5" s="257">
        <f>COUNTA(AP6:AP11)-COUNTIF(AP6:AP11,"")</f>
        <v>6</v>
      </c>
      <c r="AQ5" s="257" t="s">
        <v>43</v>
      </c>
      <c r="AR5" s="257" t="e">
        <f>AP5/AP4</f>
        <v>#DIV/0!</v>
      </c>
      <c r="AS5" s="257"/>
      <c r="AT5" s="257"/>
      <c r="AU5" s="257"/>
      <c r="AV5" s="257"/>
      <c r="AW5" s="257"/>
      <c r="AX5" s="257"/>
      <c r="AY5" s="257"/>
      <c r="AZ5" s="257"/>
      <c r="BA5" s="257"/>
      <c r="BB5" s="21"/>
      <c r="BC5" s="21"/>
      <c r="BD5" s="21"/>
      <c r="BE5" s="21"/>
    </row>
    <row r="6" spans="1:57" ht="34.5" customHeight="1" x14ac:dyDescent="0.3">
      <c r="A6" s="272">
        <v>1</v>
      </c>
      <c r="B6" s="273">
        <f>IF(OR($Y$3="",$C6=""),"",IFERROR(VLOOKUP($Y$3&amp;$A6,Choice!$A$17:$K$217,11,FALSE),""))</f>
        <v>57</v>
      </c>
      <c r="C6" s="274" t="str">
        <f>IF($Y$3="","",IFERROR(VLOOKUP($Y$3&amp;$A6,Choice!$A$17:$K$217,5,FALSE),""))</f>
        <v>Bornman Cornel</v>
      </c>
      <c r="D6" s="275">
        <f>IF(OR($Y$3="",$C6=""),"",IFERROR(VLOOKUP($Y$3&amp;$A6,Choice!$A$17:$K$217,11,FALSE),""))</f>
        <v>57</v>
      </c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8"/>
      <c r="AD6" s="279"/>
      <c r="AE6" s="279"/>
      <c r="AF6" s="256"/>
      <c r="AG6" s="256"/>
      <c r="AH6" s="256"/>
      <c r="AI6" s="256"/>
      <c r="AJ6" s="256"/>
      <c r="AK6" s="256"/>
      <c r="AL6" s="256"/>
      <c r="AM6" s="256"/>
      <c r="AN6" s="256"/>
      <c r="AO6" s="257">
        <f>IF(AP6="","",1)</f>
        <v>1</v>
      </c>
      <c r="AP6" s="280" t="str">
        <f>IF(OR(Choice!$E$6="",Choice!E9=""),"",Choice!E9)</f>
        <v>Corbett Johannes</v>
      </c>
      <c r="AQ6" s="280" t="str">
        <f>IF(AP6="","",IF(Choice!$AC$22=1,"",IF(Choice!AD14="","",Choice!AD14)))</f>
        <v/>
      </c>
      <c r="AR6" s="280" t="str">
        <f>IF(AP6="","",IF(Choice!$AC$22=1,"",IF(Choice!AE14="","",Choice!AE14)))</f>
        <v/>
      </c>
      <c r="AS6" s="280">
        <v>1</v>
      </c>
      <c r="AT6" s="257" t="str">
        <f>IFERROR(VLOOKUP(SMALL($AO$6:$AO$11,1),$AO$6:$AP$11,2,FALSE),"")</f>
        <v/>
      </c>
      <c r="AU6" s="257" t="str">
        <f>IF($AT6="","",VLOOKUP($AT6,$AP$6:$AR$11,2,FALSE))</f>
        <v/>
      </c>
      <c r="AV6" s="257" t="str">
        <f>IF($AT6="","",VLOOKUP($AT6,$AP$6:$AR$11,3,FALSE))</f>
        <v/>
      </c>
      <c r="AW6" s="257" t="e">
        <f>IF(AR5&lt;0.5,AP4-AP5-AP5-1,IF(AR5&lt;1,AP4-AP5-1,AP4-1))</f>
        <v>#DIV/0!</v>
      </c>
      <c r="AX6" s="257" t="str">
        <f t="shared" ref="AX6:AX11" si="0">IFERROR(VLOOKUP(AW6+1,$AS$6:$AT$11,2,FALSE),"")</f>
        <v/>
      </c>
      <c r="AY6" s="257" t="str">
        <f>IF($AX6="","",VLOOKUP($AX6,$AP$6:$AX$11,2,FALSE))</f>
        <v/>
      </c>
      <c r="AZ6" s="257" t="str">
        <f>IF($AX6="","",VLOOKUP($AX6,$AP$6:$AR$11,3,FALSE))</f>
        <v/>
      </c>
      <c r="BA6" s="257" t="e">
        <f>IF(AW6="","",IF(AW6=0,0,$AP$5-AW6))</f>
        <v>#DIV/0!</v>
      </c>
      <c r="BB6" s="21" t="e">
        <f t="shared" ref="BB6:BB11" si="1">IF(BA6="","",VLOOKUP(BA6+1,$AS$6:$AT$11,2,FALSE))</f>
        <v>#DIV/0!</v>
      </c>
      <c r="BC6" s="21" t="e">
        <f>IF($BB6="","",VLOOKUP($BB6,$AP$6:$AX$11,2,FALSE))</f>
        <v>#DIV/0!</v>
      </c>
      <c r="BD6" s="21" t="e">
        <f>IF($BB6="","",VLOOKUP($BB6,$AP$6:$AR$11,3,FALSE))</f>
        <v>#DIV/0!</v>
      </c>
      <c r="BE6" s="21"/>
    </row>
    <row r="7" spans="1:57" ht="34.5" customHeight="1" x14ac:dyDescent="0.3">
      <c r="A7" s="281">
        <v>2</v>
      </c>
      <c r="B7" s="282">
        <f>IF(OR($Y$3="",$C7=""),"",IFERROR(VLOOKUP($Y$3&amp;$A7,Choice!$A$17:$K$217,11,FALSE),""))</f>
        <v>71</v>
      </c>
      <c r="C7" s="283" t="str">
        <f>IF($Y$3="","",IFERROR(VLOOKUP($Y$3&amp;$A7,Choice!$A$17:$K$217,5,FALSE),""))</f>
        <v>Malherbe Gideon</v>
      </c>
      <c r="D7" s="284">
        <f>IF(OR($Y$3="",$C7=""),"",IFERROR(VLOOKUP($Y$3&amp;$A7,Choice!$A$17:$K$217,11,FALSE),""))</f>
        <v>71</v>
      </c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7"/>
      <c r="AD7" s="288"/>
      <c r="AE7" s="288"/>
      <c r="AF7" s="256"/>
      <c r="AG7" s="256"/>
      <c r="AH7" s="256"/>
      <c r="AI7" s="256"/>
      <c r="AJ7" s="256"/>
      <c r="AK7" s="256"/>
      <c r="AL7" s="256"/>
      <c r="AM7" s="256"/>
      <c r="AN7" s="256"/>
      <c r="AO7" s="257">
        <f>IF(AP7="","",2)</f>
        <v>2</v>
      </c>
      <c r="AP7" s="280" t="str">
        <f>IF(OR(Choice!$E$6="",Choice!E10=""),"",Choice!E10)</f>
        <v>Marx Zandre</v>
      </c>
      <c r="AQ7" s="280" t="str">
        <f>IF(AP7="","",IF(Choice!$AC$22=1,"",IF(Choice!AD15="","",Choice!AD15)))</f>
        <v/>
      </c>
      <c r="AR7" s="280" t="str">
        <f>IF(AP7="","",IF(Choice!$AC$22=1,"",IF(Choice!AE15="","",Choice!AE15)))</f>
        <v/>
      </c>
      <c r="AS7" s="280">
        <v>2</v>
      </c>
      <c r="AT7" s="257" t="str">
        <f>IFERROR(VLOOKUP(SMALL($AO$6:$AO$11,2),$AO$6:$AP$11,2,FALSE),"")</f>
        <v/>
      </c>
      <c r="AU7" s="257" t="str">
        <f t="shared" ref="AU7:AU11" si="2">IF($AT7="","",VLOOKUP($AT7,$AP$6:$AR$11,2,FALSE))</f>
        <v/>
      </c>
      <c r="AV7" s="257" t="str">
        <f t="shared" ref="AV7:AV11" si="3">IF($AT7="","",VLOOKUP($AT7,$AP$6:$AR$11,3,FALSE))</f>
        <v/>
      </c>
      <c r="AW7" s="257" t="str">
        <f>IF($AT7="","",IF(AW6+1=$AP$5,0,AW6+1))</f>
        <v/>
      </c>
      <c r="AX7" s="257" t="str">
        <f t="shared" si="0"/>
        <v/>
      </c>
      <c r="AY7" s="257" t="str">
        <f t="shared" ref="AY7:AY11" si="4">IF($AX7="","",VLOOKUP($AX7,$AP$6:$AX$11,2,FALSE))</f>
        <v/>
      </c>
      <c r="AZ7" s="257" t="str">
        <f t="shared" ref="AZ7:AZ11" si="5">IF($AX7="","",VLOOKUP($AX7,$AP$6:$AR$11,3,FALSE))</f>
        <v/>
      </c>
      <c r="BA7" s="257" t="str">
        <f>IF(AW7="","",IF(BA6+1=$AP$5,0,BA6+1))</f>
        <v/>
      </c>
      <c r="BB7" s="21" t="str">
        <f t="shared" si="1"/>
        <v/>
      </c>
      <c r="BC7" s="21" t="str">
        <f t="shared" ref="BC7:BC11" si="6">IF($BB7="","",VLOOKUP($BB7,$AP$6:$AX$11,2,FALSE))</f>
        <v/>
      </c>
      <c r="BD7" s="21" t="str">
        <f t="shared" ref="BD7:BD11" si="7">IF($BB7="","",VLOOKUP($BB7,$AP$6:$AR$11,3,FALSE))</f>
        <v/>
      </c>
      <c r="BE7" s="21"/>
    </row>
    <row r="8" spans="1:57" ht="34.5" customHeight="1" x14ac:dyDescent="0.3">
      <c r="A8" s="281">
        <v>3</v>
      </c>
      <c r="B8" s="282">
        <f>IF(OR($Y$3="",$C8=""),"",IFERROR(VLOOKUP($Y$3&amp;$A8,Choice!$A$17:$K$217,11,FALSE),""))</f>
        <v>87</v>
      </c>
      <c r="C8" s="283" t="str">
        <f>IF($Y$3="","",IFERROR(VLOOKUP($Y$3&amp;$A8,Choice!$A$17:$K$217,5,FALSE),""))</f>
        <v>Malherbe Fanie</v>
      </c>
      <c r="D8" s="284">
        <f>IF(OR($Y$3="",$C8=""),"",IFERROR(VLOOKUP($Y$3&amp;$A8,Choice!$A$17:$K$217,11,FALSE),""))</f>
        <v>87</v>
      </c>
      <c r="E8" s="28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7"/>
      <c r="AD8" s="288"/>
      <c r="AE8" s="288"/>
      <c r="AF8" s="256"/>
      <c r="AG8" s="256"/>
      <c r="AH8" s="256"/>
      <c r="AI8" s="256"/>
      <c r="AJ8" s="256"/>
      <c r="AK8" s="256"/>
      <c r="AL8" s="256"/>
      <c r="AM8" s="256"/>
      <c r="AN8" s="256"/>
      <c r="AO8" s="257">
        <f>IF(AP8="","",3)</f>
        <v>3</v>
      </c>
      <c r="AP8" s="280" t="str">
        <f>IF(OR(Choice!$E$6="",Choice!E11=""),"",Choice!E11)</f>
        <v>Jones Jesse</v>
      </c>
      <c r="AQ8" s="280" t="str">
        <f>IF(AP8="","",IF(Choice!$AC$22=1,"",IF(Choice!AD16="","",Choice!AD16)))</f>
        <v/>
      </c>
      <c r="AR8" s="280" t="str">
        <f>IF(AP8="","",IF(Choice!$AC$22=1,"",IF(Choice!AE16="","",Choice!AE16)))</f>
        <v/>
      </c>
      <c r="AS8" s="257">
        <v>3</v>
      </c>
      <c r="AT8" s="257" t="str">
        <f>IFERROR(VLOOKUP(SMALL($AO$6:$AO$11,3),$AO$6:$AP$11,2,FALSE),"")</f>
        <v/>
      </c>
      <c r="AU8" s="257" t="str">
        <f t="shared" si="2"/>
        <v/>
      </c>
      <c r="AV8" s="257" t="str">
        <f t="shared" si="3"/>
        <v/>
      </c>
      <c r="AW8" s="257" t="str">
        <f>IF($AT8="","",IF(AW7+1=$AP$5,0,AW7+1))</f>
        <v/>
      </c>
      <c r="AX8" s="257" t="str">
        <f t="shared" si="0"/>
        <v/>
      </c>
      <c r="AY8" s="257" t="str">
        <f t="shared" si="4"/>
        <v/>
      </c>
      <c r="AZ8" s="257" t="str">
        <f t="shared" si="5"/>
        <v/>
      </c>
      <c r="BA8" s="257" t="str">
        <f t="shared" ref="BA8:BA11" si="8">IF(AW8="","",IF(BA7+1=$AP$5,0,BA7+1))</f>
        <v/>
      </c>
      <c r="BB8" s="21" t="str">
        <f t="shared" si="1"/>
        <v/>
      </c>
      <c r="BC8" s="21" t="str">
        <f t="shared" si="6"/>
        <v/>
      </c>
      <c r="BD8" s="21" t="str">
        <f t="shared" si="7"/>
        <v/>
      </c>
      <c r="BE8" s="21"/>
    </row>
    <row r="9" spans="1:57" ht="34.5" customHeight="1" x14ac:dyDescent="0.3">
      <c r="A9" s="281">
        <v>4</v>
      </c>
      <c r="B9" s="282">
        <f>IF(OR($Y$3="",$C9=""),"",IFERROR(VLOOKUP($Y$3&amp;$A9,Choice!$A$17:$K$217,11,FALSE),""))</f>
        <v>16</v>
      </c>
      <c r="C9" s="283" t="str">
        <f>IF($Y$3="","",IFERROR(VLOOKUP($Y$3&amp;$A9,Choice!$A$17:$K$217,5,FALSE),""))</f>
        <v>Patience Bruce</v>
      </c>
      <c r="D9" s="284">
        <f>IF(OR($Y$3="",$C9=""),"",IFERROR(VLOOKUP($Y$3&amp;$A9,Choice!$A$17:$K$217,11,FALSE),""))</f>
        <v>16</v>
      </c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7"/>
      <c r="AD9" s="288"/>
      <c r="AE9" s="288"/>
      <c r="AF9" s="256"/>
      <c r="AG9" s="256"/>
      <c r="AH9" s="256"/>
      <c r="AI9" s="256"/>
      <c r="AJ9" s="256"/>
      <c r="AK9" s="256"/>
      <c r="AL9" s="256"/>
      <c r="AM9" s="256"/>
      <c r="AN9" s="256"/>
      <c r="AO9" s="257">
        <f>IF(AP9="","",4)</f>
        <v>4</v>
      </c>
      <c r="AP9" s="280" t="str">
        <f>IF(OR(Choice!$E$6="",Choice!E12=""),"",Choice!E12)</f>
        <v>Meredith Warren</v>
      </c>
      <c r="AQ9" s="280" t="str">
        <f>IF(AP9="","",IF(Choice!$AC$22=1,"",IF(Choice!AD17="","",Choice!AD17)))</f>
        <v/>
      </c>
      <c r="AR9" s="280" t="str">
        <f>IF(AP9="","",IF(Choice!$AC$22=1,"",IF(Choice!AE17="","",Choice!AE17)))</f>
        <v/>
      </c>
      <c r="AS9" s="280">
        <v>4</v>
      </c>
      <c r="AT9" s="257" t="str">
        <f>IFERROR(VLOOKUP(SMALL($AO$6:$AO$11,4),$AO$6:$AP$11,2,FALSE),"")</f>
        <v/>
      </c>
      <c r="AU9" s="257" t="str">
        <f t="shared" si="2"/>
        <v/>
      </c>
      <c r="AV9" s="257" t="str">
        <f t="shared" si="3"/>
        <v/>
      </c>
      <c r="AW9" s="257" t="str">
        <f>IF($AT9="","",IF(AW8+1=$AP$5,0,AW8+1))</f>
        <v/>
      </c>
      <c r="AX9" s="257" t="str">
        <f t="shared" si="0"/>
        <v/>
      </c>
      <c r="AY9" s="257" t="str">
        <f t="shared" si="4"/>
        <v/>
      </c>
      <c r="AZ9" s="257" t="str">
        <f t="shared" si="5"/>
        <v/>
      </c>
      <c r="BA9" s="257" t="str">
        <f t="shared" si="8"/>
        <v/>
      </c>
      <c r="BB9" s="21" t="str">
        <f t="shared" si="1"/>
        <v/>
      </c>
      <c r="BC9" s="21" t="str">
        <f t="shared" si="6"/>
        <v/>
      </c>
      <c r="BD9" s="21" t="str">
        <f t="shared" si="7"/>
        <v/>
      </c>
      <c r="BE9" s="21"/>
    </row>
    <row r="10" spans="1:57" ht="34.5" customHeight="1" x14ac:dyDescent="0.3">
      <c r="A10" s="281">
        <v>5</v>
      </c>
      <c r="B10" s="282">
        <f>IF(OR($Y$3="",$C10=""),"",IFERROR(VLOOKUP($Y$3&amp;$A10,Choice!$A$17:$K$217,11,FALSE),""))</f>
        <v>2</v>
      </c>
      <c r="C10" s="283" t="str">
        <f>IF($Y$3="","",IFERROR(VLOOKUP($Y$3&amp;$A10,Choice!$A$17:$K$217,5,FALSE),""))</f>
        <v>Pienaar Schalk</v>
      </c>
      <c r="D10" s="284">
        <f>IF(OR($Y$3="",$C10=""),"",IFERROR(VLOOKUP($Y$3&amp;$A10,Choice!$A$17:$K$217,11,FALSE),""))</f>
        <v>2</v>
      </c>
      <c r="E10" s="285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7"/>
      <c r="AD10" s="288"/>
      <c r="AE10" s="288"/>
      <c r="AF10" s="256"/>
      <c r="AG10" s="256"/>
      <c r="AH10" s="256"/>
      <c r="AI10" s="256"/>
      <c r="AJ10" s="256"/>
      <c r="AK10" s="256"/>
      <c r="AL10" s="256"/>
      <c r="AM10" s="256"/>
      <c r="AN10" s="256"/>
      <c r="AO10" s="257">
        <f>IF(AP10="","",5)</f>
        <v>5</v>
      </c>
      <c r="AP10" s="280" t="str">
        <f>IF(OR(Choice!$E$6="",Choice!E13=""),"",Choice!E13)</f>
        <v>Rabie Johannes</v>
      </c>
      <c r="AQ10" s="280" t="str">
        <f>IF(AP10="","",IF(Choice!$AC$22=1,"",IF(Choice!AD18="","",Choice!AD18)))</f>
        <v/>
      </c>
      <c r="AR10" s="280" t="str">
        <f>IF(AP10="","",IF(Choice!$AC$22=1,"",IF(Choice!AE18="","",Choice!AE18)))</f>
        <v/>
      </c>
      <c r="AS10" s="280">
        <v>5</v>
      </c>
      <c r="AT10" s="257" t="str">
        <f>IFERROR(VLOOKUP(SMALL($AO$6:$AO$11,5),$AO$6:$AP$11,2,FALSE),"")</f>
        <v/>
      </c>
      <c r="AU10" s="257" t="str">
        <f t="shared" si="2"/>
        <v/>
      </c>
      <c r="AV10" s="257" t="str">
        <f t="shared" si="3"/>
        <v/>
      </c>
      <c r="AW10" s="257" t="str">
        <f>IF($AT10="","",IF(AW9+1=$AP$5,0,AW9+1))</f>
        <v/>
      </c>
      <c r="AX10" s="257" t="str">
        <f t="shared" si="0"/>
        <v/>
      </c>
      <c r="AY10" s="257" t="str">
        <f t="shared" si="4"/>
        <v/>
      </c>
      <c r="AZ10" s="257" t="str">
        <f t="shared" si="5"/>
        <v/>
      </c>
      <c r="BA10" s="257" t="str">
        <f t="shared" si="8"/>
        <v/>
      </c>
      <c r="BB10" s="21" t="str">
        <f t="shared" si="1"/>
        <v/>
      </c>
      <c r="BC10" s="21" t="str">
        <f t="shared" si="6"/>
        <v/>
      </c>
      <c r="BD10" s="21" t="str">
        <f t="shared" si="7"/>
        <v/>
      </c>
      <c r="BE10" s="21"/>
    </row>
    <row r="11" spans="1:57" ht="34.5" customHeight="1" thickBot="1" x14ac:dyDescent="0.35">
      <c r="A11" s="289">
        <v>6</v>
      </c>
      <c r="B11" s="290" t="str">
        <f>IF(OR($Y$3="",$C11=""),"",IFERROR(VLOOKUP($Y$3&amp;$A11,Choice!$A$17:$K$217,11,FALSE),""))</f>
        <v/>
      </c>
      <c r="C11" s="291" t="str">
        <f>IF($Y$3="","",IFERROR(VLOOKUP($Y$3&amp;$A11,Choice!$A$17:$K$217,5,FALSE),""))</f>
        <v/>
      </c>
      <c r="D11" s="292" t="str">
        <f>IF(OR($Y$3="",$C11=""),"",IFERROR(VLOOKUP($Y$3&amp;$A11,Choice!$A$17:$K$217,11,FALSE),""))</f>
        <v/>
      </c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  <c r="AD11" s="296"/>
      <c r="AE11" s="29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7" t="e">
        <f>IF(AP11="","",6)</f>
        <v>#REF!</v>
      </c>
      <c r="AP11" s="280" t="e">
        <f>IF(OR(Choice!$E$6="",Choice!#REF!=""),"",Choice!#REF!)</f>
        <v>#REF!</v>
      </c>
      <c r="AQ11" s="280" t="e">
        <f>IF(AP11="","",IF(Choice!$AC$22=1,"",IF(Choice!AD19="","",Choice!AD19)))</f>
        <v>#REF!</v>
      </c>
      <c r="AR11" s="280" t="e">
        <f>IF(AP11="","",IF(Choice!$AC$22=1,"",IF(Choice!AE19="","",Choice!AE19)))</f>
        <v>#REF!</v>
      </c>
      <c r="AS11" s="257">
        <v>6</v>
      </c>
      <c r="AT11" s="257" t="str">
        <f>IFERROR(VLOOKUP(SMALL($AO$6:$AO$11,6),$AO$6:$AP$11,2,FALSE),"")</f>
        <v/>
      </c>
      <c r="AU11" s="257" t="str">
        <f t="shared" si="2"/>
        <v/>
      </c>
      <c r="AV11" s="257" t="str">
        <f t="shared" si="3"/>
        <v/>
      </c>
      <c r="AW11" s="257" t="str">
        <f>IF($AT11="","",IF(AW10+1=$AP$5,0,AW10+1))</f>
        <v/>
      </c>
      <c r="AX11" s="257" t="str">
        <f t="shared" si="0"/>
        <v/>
      </c>
      <c r="AY11" s="257" t="str">
        <f t="shared" si="4"/>
        <v/>
      </c>
      <c r="AZ11" s="257" t="str">
        <f t="shared" si="5"/>
        <v/>
      </c>
      <c r="BA11" s="257" t="str">
        <f t="shared" si="8"/>
        <v/>
      </c>
      <c r="BB11" s="21" t="str">
        <f t="shared" si="1"/>
        <v/>
      </c>
      <c r="BC11" s="21" t="str">
        <f t="shared" si="6"/>
        <v/>
      </c>
      <c r="BD11" s="21" t="str">
        <f t="shared" si="7"/>
        <v/>
      </c>
      <c r="BE11" s="21"/>
    </row>
    <row r="12" spans="1:57" ht="24" customHeight="1" thickBot="1" x14ac:dyDescent="0.3">
      <c r="A12" s="258"/>
      <c r="B12" s="258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65" t="s">
        <v>5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6"/>
      <c r="AO12" s="257"/>
      <c r="AP12" s="257" t="s">
        <v>45</v>
      </c>
      <c r="AQ12" s="217" t="s">
        <v>38</v>
      </c>
      <c r="AR12" s="217" t="s">
        <v>37</v>
      </c>
      <c r="AS12" s="257"/>
      <c r="AT12" s="257" t="s">
        <v>46</v>
      </c>
      <c r="AU12" s="217" t="s">
        <v>38</v>
      </c>
      <c r="AV12" s="217" t="s">
        <v>37</v>
      </c>
      <c r="AW12" s="257"/>
      <c r="AX12" s="257" t="s">
        <v>47</v>
      </c>
      <c r="AY12" s="217" t="s">
        <v>38</v>
      </c>
      <c r="AZ12" s="217" t="s">
        <v>37</v>
      </c>
      <c r="BA12" s="257"/>
      <c r="BB12" s="21" t="s">
        <v>48</v>
      </c>
      <c r="BC12" s="50" t="s">
        <v>38</v>
      </c>
      <c r="BD12" s="50" t="s">
        <v>37</v>
      </c>
      <c r="BE12" s="20"/>
    </row>
    <row r="13" spans="1:57" ht="21" thickBot="1" x14ac:dyDescent="0.35">
      <c r="A13" s="258"/>
      <c r="B13" s="258"/>
      <c r="C13" s="259" t="s">
        <v>6</v>
      </c>
      <c r="D13" s="297"/>
      <c r="E13" s="298"/>
      <c r="F13" s="298"/>
      <c r="G13" s="298"/>
      <c r="H13" s="298"/>
      <c r="I13" s="298"/>
      <c r="J13" s="298"/>
      <c r="K13" s="298"/>
      <c r="L13" s="256"/>
      <c r="M13" s="256"/>
      <c r="N13" s="299" t="s">
        <v>7</v>
      </c>
      <c r="O13" s="300"/>
      <c r="P13" s="256"/>
      <c r="Q13" s="256"/>
      <c r="R13" s="299" t="s">
        <v>8</v>
      </c>
      <c r="S13" s="300"/>
      <c r="T13" s="299"/>
      <c r="U13" s="299"/>
      <c r="V13" s="299"/>
      <c r="W13" s="299"/>
      <c r="X13" s="256"/>
      <c r="Y13" s="256"/>
      <c r="Z13" s="259" t="s">
        <v>9</v>
      </c>
      <c r="AA13" s="298"/>
      <c r="AB13" s="298"/>
      <c r="AC13" s="298"/>
      <c r="AD13" s="298"/>
      <c r="AE13" s="298"/>
      <c r="AF13" s="118"/>
      <c r="AG13" s="118"/>
      <c r="AH13" s="118"/>
      <c r="AI13" s="118"/>
      <c r="AJ13" s="118"/>
      <c r="AK13" s="118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0"/>
      <c r="BC13" s="20"/>
      <c r="BD13" s="20"/>
      <c r="BE13" s="20"/>
    </row>
    <row r="14" spans="1:57" x14ac:dyDescent="0.25">
      <c r="A14" s="256"/>
      <c r="B14" s="256"/>
      <c r="C14" s="256"/>
      <c r="D14" s="256"/>
      <c r="E14" s="26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0"/>
      <c r="BC14" s="20"/>
      <c r="BD14" s="20"/>
      <c r="BE14" s="20"/>
    </row>
    <row r="15" spans="1:57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0"/>
      <c r="BC15" s="20"/>
      <c r="BD15" s="20"/>
      <c r="BE15" s="20"/>
    </row>
    <row r="16" spans="1:57" x14ac:dyDescent="0.25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87"/>
      <c r="BB16"/>
      <c r="BC16"/>
      <c r="BD16"/>
      <c r="BE16"/>
    </row>
    <row r="17" spans="1:57" ht="39.950000000000003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256"/>
      <c r="AG17" s="256"/>
      <c r="AH17" s="256"/>
      <c r="AI17" s="256"/>
      <c r="AJ17" s="256"/>
      <c r="AK17" s="256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87"/>
      <c r="BB17"/>
      <c r="BC17"/>
      <c r="BD17"/>
      <c r="BE17"/>
    </row>
    <row r="18" spans="1:57" ht="39.950000000000003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 s="20"/>
      <c r="AG18" s="20"/>
      <c r="AH18" s="20"/>
      <c r="AI18" s="20"/>
      <c r="AJ18" s="20"/>
      <c r="AK18" s="20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/>
      <c r="BB18"/>
      <c r="BC18"/>
      <c r="BD18"/>
      <c r="BE18"/>
    </row>
    <row r="19" spans="1:57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20"/>
      <c r="AG19" s="20"/>
      <c r="AH19" s="20"/>
      <c r="AI19" s="20"/>
      <c r="AJ19" s="20"/>
      <c r="AK19" s="20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/>
      <c r="BB19"/>
      <c r="BC19"/>
      <c r="BD19"/>
      <c r="BE19"/>
    </row>
    <row r="20" spans="1:57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20"/>
      <c r="AG20" s="20"/>
      <c r="AH20" s="20"/>
      <c r="AI20" s="20"/>
      <c r="AJ20" s="20"/>
      <c r="AK20" s="20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/>
      <c r="BB20"/>
      <c r="BC20"/>
      <c r="BD20"/>
      <c r="BE20"/>
    </row>
    <row r="21" spans="1:57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20"/>
      <c r="AG21" s="20"/>
      <c r="AH21" s="20"/>
      <c r="AI21" s="20"/>
      <c r="AJ21" s="20"/>
      <c r="AK21" s="20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/>
      <c r="BB21"/>
      <c r="BC21"/>
      <c r="BD21"/>
      <c r="BE21"/>
    </row>
    <row r="22" spans="1:57" ht="16.149999999999999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57" ht="24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57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57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  <c r="AF25"/>
      <c r="AG25"/>
      <c r="AH25"/>
      <c r="AI25"/>
      <c r="AJ25"/>
    </row>
    <row r="26" spans="1:57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57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</sheetData>
  <sheetProtection algorithmName="SHA-512" hashValue="OmVKxX+8mIkdqrnQu1KNTUcS39xAEbpb+wODjNr8KmzB3XuyLPRLBrQKsbKzHGCvZOC5/eznkUw6fhAgqbv2Bg==" saltValue="AeC1jQf7mF+IMgnBzdTTgw==" spinCount="100000" sheet="1" objects="1" scenarios="1" selectLockedCells="1"/>
  <mergeCells count="1">
    <mergeCell ref="E3:G3"/>
  </mergeCells>
  <conditionalFormatting sqref="Z4">
    <cfRule type="cellIs" dxfId="1" priority="1" stopIfTrue="1" operator="equal">
      <formula>0</formula>
    </cfRule>
  </conditionalFormatting>
  <printOptions horizontalCentered="1" verticalCentered="1"/>
  <pageMargins left="0.37" right="0.69" top="0.6" bottom="0.69" header="0.51181102362204722" footer="0.51181102362204722"/>
  <pageSetup paperSize="9" scale="66" orientation="landscape" horizontalDpi="300" verticalDpi="300" r:id="rId1"/>
  <headerFooter alignWithMargins="0">
    <oddHeader>&amp;C&amp;"Arial,Bold"&amp;24Olympic Trap</oddHeader>
    <oddFooter>&amp;LCopyright: All rights reserved&amp;CB F Black (082 517 5710)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27"/>
  <sheetViews>
    <sheetView showGridLines="0" showRowColHeaders="0" showZeros="0" zoomScale="85" zoomScaleNormal="85" workbookViewId="0">
      <selection activeCell="P3" sqref="P3"/>
    </sheetView>
  </sheetViews>
  <sheetFormatPr defaultColWidth="10.28515625" defaultRowHeight="15.75" x14ac:dyDescent="0.25"/>
  <cols>
    <col min="1" max="2" width="5.28515625" style="1" customWidth="1"/>
    <col min="3" max="3" width="33" style="1" customWidth="1"/>
    <col min="4" max="4" width="5.42578125" style="1" customWidth="1"/>
    <col min="5" max="19" width="8.5703125" style="1" customWidth="1"/>
    <col min="20" max="20" width="11.85546875" style="1" customWidth="1"/>
    <col min="21" max="21" width="10.28515625" style="2" customWidth="1"/>
    <col min="22" max="16384" width="10.28515625" style="1"/>
  </cols>
  <sheetData>
    <row r="1" spans="1:45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237" t="str">
        <f>ClubName</f>
        <v>Valley Gun Club</v>
      </c>
      <c r="V1" s="126"/>
      <c r="W1" s="126"/>
      <c r="X1" s="126"/>
      <c r="Y1" s="217"/>
      <c r="Z1" s="217"/>
      <c r="AA1" s="217"/>
      <c r="AB1" s="217"/>
      <c r="AC1" s="217"/>
      <c r="AD1" s="217"/>
      <c r="AE1" s="238" t="str">
        <f>ClubName</f>
        <v>Valley Gun Club</v>
      </c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50"/>
      <c r="AQ1" s="50"/>
    </row>
    <row r="2" spans="1:45" ht="22.9" customHeight="1" x14ac:dyDescent="0.35">
      <c r="A2" s="239">
        <v>1</v>
      </c>
      <c r="B2" s="239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26"/>
      <c r="U2" s="127"/>
      <c r="V2" s="126"/>
      <c r="W2" s="126"/>
      <c r="X2" s="126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126"/>
      <c r="AS2" s="126"/>
    </row>
    <row r="3" spans="1:45" ht="19.5" thickBot="1" x14ac:dyDescent="0.35">
      <c r="A3" s="128"/>
      <c r="B3" s="128"/>
      <c r="C3" s="126"/>
      <c r="D3" s="130" t="s">
        <v>21</v>
      </c>
      <c r="E3" s="499">
        <f>Choice!$H$4</f>
        <v>43743</v>
      </c>
      <c r="F3" s="500"/>
      <c r="G3" s="500"/>
      <c r="H3" s="131"/>
      <c r="I3" s="131"/>
      <c r="J3" s="87"/>
      <c r="K3" s="87"/>
      <c r="L3" s="87"/>
      <c r="M3" s="87"/>
      <c r="N3" s="126"/>
      <c r="O3" s="130" t="s">
        <v>1</v>
      </c>
      <c r="P3" s="3">
        <v>1</v>
      </c>
      <c r="Q3" s="126"/>
      <c r="R3" s="130" t="s">
        <v>2</v>
      </c>
      <c r="S3" s="44"/>
      <c r="T3" s="240" t="s">
        <v>44</v>
      </c>
      <c r="U3" s="49"/>
      <c r="V3" s="126"/>
      <c r="W3" s="126"/>
      <c r="X3" s="126"/>
      <c r="Y3" s="217"/>
      <c r="Z3" s="217" t="s">
        <v>1</v>
      </c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126"/>
      <c r="AS3" s="126"/>
    </row>
    <row r="4" spans="1:45" ht="19.5" thickBot="1" x14ac:dyDescent="0.35">
      <c r="A4" s="128"/>
      <c r="B4" s="128"/>
      <c r="C4" s="130"/>
      <c r="D4" s="130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28"/>
      <c r="V4" s="126"/>
      <c r="W4" s="126"/>
      <c r="X4" s="126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 t="s">
        <v>44</v>
      </c>
      <c r="AP4" s="217"/>
      <c r="AQ4" s="217"/>
      <c r="AR4" s="126"/>
      <c r="AS4" s="126"/>
    </row>
    <row r="5" spans="1:45" ht="16.5" thickBot="1" x14ac:dyDescent="0.3">
      <c r="A5" s="158"/>
      <c r="B5" s="159" t="s">
        <v>37</v>
      </c>
      <c r="C5" s="160" t="s">
        <v>3</v>
      </c>
      <c r="D5" s="241" t="s">
        <v>38</v>
      </c>
      <c r="E5" s="162">
        <v>1</v>
      </c>
      <c r="F5" s="165">
        <v>2</v>
      </c>
      <c r="G5" s="165">
        <v>3</v>
      </c>
      <c r="H5" s="165">
        <v>4</v>
      </c>
      <c r="I5" s="165">
        <v>5</v>
      </c>
      <c r="J5" s="165">
        <v>6</v>
      </c>
      <c r="K5" s="165">
        <v>7</v>
      </c>
      <c r="L5" s="165">
        <v>8</v>
      </c>
      <c r="M5" s="165">
        <v>9</v>
      </c>
      <c r="N5" s="165">
        <v>10</v>
      </c>
      <c r="O5" s="165">
        <v>11</v>
      </c>
      <c r="P5" s="165">
        <v>12</v>
      </c>
      <c r="Q5" s="165">
        <v>13</v>
      </c>
      <c r="R5" s="165">
        <v>14</v>
      </c>
      <c r="S5" s="165">
        <v>15</v>
      </c>
      <c r="T5" s="175" t="s">
        <v>4</v>
      </c>
      <c r="U5" s="176" t="s">
        <v>26</v>
      </c>
      <c r="V5" s="126"/>
      <c r="W5" s="126"/>
      <c r="X5" s="126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126"/>
      <c r="AS5" s="126"/>
    </row>
    <row r="6" spans="1:45" ht="35.1" customHeight="1" x14ac:dyDescent="0.25">
      <c r="A6" s="242">
        <v>1</v>
      </c>
      <c r="B6" s="243">
        <f>IF(OR($P$3="",$C6=""),"",IFERROR(VLOOKUP($P$3&amp;$A6,Choice!$A$17:$K$217,11,FALSE),""))</f>
        <v>57</v>
      </c>
      <c r="C6" s="244" t="str">
        <f>IF($P$3="","",IFERROR(VLOOKUP($P$3&amp;$A6,Choice!$A$17:$K$217,5,FALSE),""))</f>
        <v>Bornman Cornel</v>
      </c>
      <c r="D6" s="245" t="str">
        <f>IF(OR($P$3="",$C6=""),"",IFERROR(VLOOKUP($P$3&amp;$A6,Choice!$A$17:$K$217,6,FALSE),""))</f>
        <v>S</v>
      </c>
      <c r="E6" s="184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90"/>
      <c r="U6" s="191"/>
      <c r="V6" s="126"/>
      <c r="W6" s="126"/>
      <c r="X6" s="126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126"/>
      <c r="AS6" s="126"/>
    </row>
    <row r="7" spans="1:45" ht="35.1" customHeight="1" x14ac:dyDescent="0.25">
      <c r="A7" s="192">
        <v>2</v>
      </c>
      <c r="B7" s="246">
        <f>IF(OR($P$3="",$C7=""),"",IFERROR(VLOOKUP($P$3&amp;$A7,Choice!$A$17:$K$217,11,FALSE),""))</f>
        <v>71</v>
      </c>
      <c r="C7" s="247" t="str">
        <f>IF($P$3="","",IFERROR(VLOOKUP($P$3&amp;$A7,Choice!$A$17:$K$217,5,FALSE),""))</f>
        <v>Malherbe Gideon</v>
      </c>
      <c r="D7" s="248" t="str">
        <f>IF(OR($P$3="",$C7=""),"",IFERROR(VLOOKUP($P$3&amp;$A7,Choice!$A$17:$K$217,6,FALSE),""))</f>
        <v>S</v>
      </c>
      <c r="E7" s="197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200"/>
      <c r="U7" s="201"/>
      <c r="V7" s="126"/>
      <c r="W7" s="126"/>
      <c r="X7" s="126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126"/>
      <c r="AS7" s="126"/>
    </row>
    <row r="8" spans="1:45" ht="35.1" customHeight="1" x14ac:dyDescent="0.25">
      <c r="A8" s="192">
        <v>3</v>
      </c>
      <c r="B8" s="246">
        <f>IF(OR($P$3="",$C8=""),"",IFERROR(VLOOKUP($P$3&amp;$A8,Choice!$A$17:$K$217,11,FALSE),""))</f>
        <v>87</v>
      </c>
      <c r="C8" s="247" t="str">
        <f>IF($P$3="","",IFERROR(VLOOKUP($P$3&amp;$A8,Choice!$A$17:$K$217,5,FALSE),""))</f>
        <v>Malherbe Fanie</v>
      </c>
      <c r="D8" s="248" t="str">
        <f>IF(OR($P$3="",$C8=""),"",IFERROR(VLOOKUP($P$3&amp;$A8,Choice!$A$17:$K$217,6,FALSE),""))</f>
        <v>S</v>
      </c>
      <c r="E8" s="197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200"/>
      <c r="U8" s="201"/>
      <c r="V8" s="126"/>
      <c r="W8" s="126"/>
      <c r="X8" s="126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126"/>
      <c r="AS8" s="126"/>
    </row>
    <row r="9" spans="1:45" ht="35.1" customHeight="1" x14ac:dyDescent="0.25">
      <c r="A9" s="192">
        <v>4</v>
      </c>
      <c r="B9" s="246">
        <f>IF(OR($P$3="",$C9=""),"",IFERROR(VLOOKUP($P$3&amp;$A9,Choice!$A$17:$K$217,11,FALSE),""))</f>
        <v>16</v>
      </c>
      <c r="C9" s="247" t="str">
        <f>IF($P$3="","",IFERROR(VLOOKUP($P$3&amp;$A9,Choice!$A$17:$K$217,5,FALSE),""))</f>
        <v>Patience Bruce</v>
      </c>
      <c r="D9" s="248" t="str">
        <f>IF(OR($P$3="",$C9=""),"",IFERROR(VLOOKUP($P$3&amp;$A9,Choice!$A$17:$K$217,6,FALSE),""))</f>
        <v>S</v>
      </c>
      <c r="E9" s="19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200"/>
      <c r="U9" s="201"/>
      <c r="V9" s="126"/>
      <c r="W9" s="126"/>
      <c r="X9" s="126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126"/>
      <c r="AS9" s="126"/>
    </row>
    <row r="10" spans="1:45" ht="35.1" customHeight="1" x14ac:dyDescent="0.25">
      <c r="A10" s="192">
        <v>5</v>
      </c>
      <c r="B10" s="246">
        <f>IF(OR($P$3="",$C10=""),"",IFERROR(VLOOKUP($P$3&amp;$A10,Choice!$A$17:$K$217,11,FALSE),""))</f>
        <v>2</v>
      </c>
      <c r="C10" s="247" t="str">
        <f>IF($P$3="","",IFERROR(VLOOKUP($P$3&amp;$A10,Choice!$A$17:$K$217,5,FALSE),""))</f>
        <v>Pienaar Schalk</v>
      </c>
      <c r="D10" s="248" t="str">
        <f>IF(OR($P$3="",$C10=""),"",IFERROR(VLOOKUP($P$3&amp;$A10,Choice!$A$17:$K$217,6,FALSE),""))</f>
        <v>S</v>
      </c>
      <c r="E10" s="197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200"/>
      <c r="U10" s="201"/>
      <c r="V10" s="126"/>
      <c r="W10" s="126"/>
      <c r="X10" s="126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126"/>
      <c r="AS10" s="126"/>
    </row>
    <row r="11" spans="1:45" ht="35.1" customHeight="1" thickBot="1" x14ac:dyDescent="0.3">
      <c r="A11" s="249">
        <v>6</v>
      </c>
      <c r="B11" s="249" t="str">
        <f>IF(OR($P$3="",$C11=""),"",IFERROR(VLOOKUP($P$3&amp;$A11,Choice!$A$17:$K$217,11,FALSE),""))</f>
        <v/>
      </c>
      <c r="C11" s="250" t="str">
        <f>IF($P$3="","",IFERROR(VLOOKUP($P$3&amp;$A11,Choice!$A$17:$K$217,5,FALSE),""))</f>
        <v/>
      </c>
      <c r="D11" s="211" t="str">
        <f>IF(OR($P$3="",$C11=""),"",IFERROR(VLOOKUP($P$3&amp;$A11,Choice!$A$17:$K$217,6,FALSE),""))</f>
        <v/>
      </c>
      <c r="E11" s="206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11"/>
      <c r="U11" s="201"/>
      <c r="V11" s="126"/>
      <c r="W11" s="126"/>
      <c r="X11" s="126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126"/>
      <c r="AS11" s="126"/>
    </row>
    <row r="12" spans="1:45" ht="24" customHeight="1" thickBot="1" x14ac:dyDescent="0.35">
      <c r="A12" s="128"/>
      <c r="B12" s="128"/>
      <c r="C12" s="126"/>
      <c r="D12" s="126"/>
      <c r="E12" s="126"/>
      <c r="F12" s="126"/>
      <c r="G12" s="126"/>
      <c r="H12" s="126"/>
      <c r="I12" s="126"/>
      <c r="J12" s="131"/>
      <c r="K12" s="141"/>
      <c r="L12" s="141" t="s">
        <v>5</v>
      </c>
      <c r="M12" s="141"/>
      <c r="N12" s="141"/>
      <c r="O12" s="141"/>
      <c r="P12" s="131"/>
      <c r="Q12" s="131"/>
      <c r="R12" s="131"/>
      <c r="S12" s="131"/>
      <c r="T12" s="131"/>
      <c r="U12" s="126"/>
      <c r="V12" s="126"/>
      <c r="W12" s="126"/>
      <c r="X12" s="126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50"/>
      <c r="AQ12" s="50"/>
      <c r="AR12" s="2"/>
    </row>
    <row r="13" spans="1:45" ht="24" customHeight="1" thickBot="1" x14ac:dyDescent="0.35">
      <c r="A13" s="128"/>
      <c r="B13" s="128"/>
      <c r="C13" s="130" t="s">
        <v>6</v>
      </c>
      <c r="D13" s="130"/>
      <c r="E13" s="135"/>
      <c r="F13" s="135"/>
      <c r="G13" s="135"/>
      <c r="H13" s="135"/>
      <c r="I13" s="135"/>
      <c r="J13" s="213" t="s">
        <v>7</v>
      </c>
      <c r="K13" s="214"/>
      <c r="L13" s="126"/>
      <c r="M13" s="213" t="s">
        <v>8</v>
      </c>
      <c r="N13" s="214"/>
      <c r="O13" s="126"/>
      <c r="P13" s="126"/>
      <c r="Q13" s="130" t="s">
        <v>9</v>
      </c>
      <c r="R13" s="135"/>
      <c r="S13" s="135"/>
      <c r="T13" s="135"/>
      <c r="U13" s="135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87"/>
      <c r="AM13" s="87"/>
      <c r="AN13" s="87"/>
      <c r="AO13" s="87"/>
      <c r="AP13"/>
      <c r="AQ13"/>
      <c r="AR13"/>
    </row>
    <row r="14" spans="1:45" ht="18.75" x14ac:dyDescent="0.3">
      <c r="A14" s="128"/>
      <c r="B14" s="128"/>
      <c r="C14" s="130"/>
      <c r="D14" s="130"/>
      <c r="E14" s="141"/>
      <c r="F14" s="141"/>
      <c r="G14" s="141"/>
      <c r="H14" s="141"/>
      <c r="I14" s="141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39"/>
      <c r="V14" s="139"/>
      <c r="W14" s="141"/>
      <c r="X14" s="141"/>
      <c r="Y14" s="141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87"/>
      <c r="AM14" s="87"/>
      <c r="AN14" s="87"/>
      <c r="AO14" s="87"/>
      <c r="AP14"/>
      <c r="AQ14"/>
      <c r="AR14"/>
    </row>
    <row r="15" spans="1:4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AL15"/>
      <c r="AM15"/>
      <c r="AN15"/>
      <c r="AO15"/>
      <c r="AP15"/>
      <c r="AQ15"/>
      <c r="AR15"/>
    </row>
    <row r="16" spans="1:4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AL16"/>
      <c r="AM16"/>
      <c r="AN16"/>
      <c r="AO16"/>
      <c r="AP16"/>
      <c r="AQ16"/>
      <c r="AR16"/>
    </row>
    <row r="17" spans="1:4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AL17"/>
      <c r="AM17"/>
      <c r="AN17"/>
      <c r="AO17"/>
      <c r="AP17"/>
      <c r="AQ17"/>
      <c r="AR17"/>
    </row>
    <row r="18" spans="1:45" ht="35.1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AL18"/>
      <c r="AM18"/>
      <c r="AN18"/>
      <c r="AO18"/>
      <c r="AP18"/>
      <c r="AQ18"/>
      <c r="AR18"/>
    </row>
    <row r="19" spans="1:45" ht="35.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AL19"/>
      <c r="AM19"/>
      <c r="AN19"/>
      <c r="AO19"/>
      <c r="AP19"/>
      <c r="AQ19"/>
      <c r="AR19"/>
    </row>
    <row r="20" spans="1:45" ht="35.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AL20"/>
      <c r="AM20"/>
      <c r="AN20"/>
      <c r="AO20"/>
      <c r="AP20"/>
      <c r="AQ20"/>
      <c r="AR20"/>
    </row>
    <row r="21" spans="1:45" ht="35.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AL21"/>
      <c r="AM21"/>
      <c r="AN21"/>
      <c r="AO21"/>
      <c r="AP21"/>
      <c r="AQ21"/>
      <c r="AR21"/>
    </row>
    <row r="22" spans="1:45" ht="35.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AL22"/>
      <c r="AM22"/>
      <c r="AN22"/>
      <c r="AO22"/>
      <c r="AP22"/>
      <c r="AQ22"/>
      <c r="AR22"/>
    </row>
    <row r="23" spans="1:45" ht="35.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AL23"/>
      <c r="AM23"/>
      <c r="AN23"/>
      <c r="AO23"/>
      <c r="AP23"/>
      <c r="AQ23"/>
      <c r="AR23"/>
    </row>
    <row r="24" spans="1:45" ht="24" customHeigh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Z24" s="4"/>
      <c r="AA24" s="4"/>
      <c r="AB24" s="4"/>
      <c r="AL24"/>
      <c r="AM24"/>
      <c r="AN24"/>
      <c r="AO24"/>
      <c r="AP24"/>
      <c r="AQ24"/>
      <c r="AR24"/>
      <c r="AS24" s="2"/>
    </row>
    <row r="25" spans="1:45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AL25"/>
      <c r="AM25"/>
      <c r="AN25"/>
      <c r="AO25"/>
      <c r="AP25"/>
      <c r="AQ25"/>
      <c r="AR25"/>
      <c r="AS25" s="2"/>
    </row>
    <row r="26" spans="1:45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45" ht="24" customHeight="1" x14ac:dyDescent="0.25"/>
  </sheetData>
  <sheetProtection algorithmName="SHA-512" hashValue="V8MaIaZumzNUvTGlOlQBQZrohr0uCRH23crwuhKgNKXFZLhrlFbaXr45are+N406jWm13ewiHXNrW6WD3rpssA==" saltValue="W0kUoagG8vK3eWmATAtK9g==" spinCount="100000" sheet="1" objects="1" scenarios="1"/>
  <mergeCells count="1">
    <mergeCell ref="E3:G3"/>
  </mergeCells>
  <printOptions horizontalCentered="1" verticalCentered="1"/>
  <pageMargins left="0.43307086614173229" right="0.35433070866141736" top="0.82677165354330717" bottom="0.6692913385826772" header="0.51181102362204722" footer="0.51181102362204722"/>
  <pageSetup paperSize="9" scale="71" orientation="landscape" horizontalDpi="300" verticalDpi="300" r:id="rId1"/>
  <headerFooter alignWithMargins="0">
    <oddHeader>&amp;C&amp;"Arial,Bold"&amp;24Olympic Doubles&amp;R&amp;"Arial,Bold"&amp;20Valley Gun Club</oddHeader>
    <oddFooter>&amp;LCopyight: All rights reserved&amp;CB F Black (082 517 5710)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CC31"/>
  <sheetViews>
    <sheetView showGridLines="0" showRowColHeaders="0" showZeros="0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4.7109375" style="1" customWidth="1"/>
    <col min="3" max="3" width="28.28515625" style="1" customWidth="1"/>
    <col min="4" max="4" width="4.85546875" style="1" customWidth="1"/>
    <col min="5" max="29" width="5.28515625" style="1" customWidth="1"/>
    <col min="30" max="30" width="9.85546875" style="1" customWidth="1"/>
    <col min="31" max="31" width="10.28515625" style="2" customWidth="1"/>
    <col min="32" max="16384" width="10.28515625" style="1"/>
  </cols>
  <sheetData>
    <row r="1" spans="1:81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</row>
    <row r="2" spans="1:8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8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</row>
    <row r="3" spans="1:81" ht="19.5" thickBot="1" x14ac:dyDescent="0.35">
      <c r="A3" s="129"/>
      <c r="B3" s="129"/>
      <c r="C3" s="126"/>
      <c r="D3" s="130" t="s">
        <v>21</v>
      </c>
      <c r="E3" s="499">
        <f>IF(Choice!H4="","",Choice!H4)</f>
        <v>43743</v>
      </c>
      <c r="F3" s="500"/>
      <c r="G3" s="500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26"/>
      <c r="W3" s="126"/>
      <c r="X3" s="130" t="s">
        <v>1</v>
      </c>
      <c r="Y3" s="3">
        <v>2</v>
      </c>
      <c r="Z3" s="126"/>
      <c r="AA3" s="130" t="s">
        <v>2</v>
      </c>
      <c r="AB3" s="44"/>
      <c r="AC3" s="131"/>
      <c r="AD3" s="131" t="s">
        <v>44</v>
      </c>
      <c r="AE3" s="68">
        <v>1</v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</row>
    <row r="4" spans="1:81" ht="19.5" thickBot="1" x14ac:dyDescent="0.35">
      <c r="A4" s="128"/>
      <c r="B4" s="128"/>
      <c r="C4" s="130"/>
      <c r="D4" s="130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9"/>
      <c r="W4" s="131"/>
      <c r="X4" s="140"/>
      <c r="Y4" s="131"/>
      <c r="Z4" s="139"/>
      <c r="AA4" s="131"/>
      <c r="AB4" s="219"/>
      <c r="AC4" s="141"/>
      <c r="AD4" s="131"/>
      <c r="AE4" s="128"/>
      <c r="AF4" s="126"/>
      <c r="AG4" s="126"/>
      <c r="AH4" s="126"/>
      <c r="AI4" s="126"/>
      <c r="AJ4" s="126"/>
      <c r="AK4" s="126"/>
      <c r="AL4" s="126"/>
      <c r="AM4" s="126"/>
      <c r="AN4" s="126" t="s">
        <v>44</v>
      </c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</row>
    <row r="5" spans="1:81" ht="16.5" thickBot="1" x14ac:dyDescent="0.3">
      <c r="A5" s="128"/>
      <c r="B5" s="128"/>
      <c r="C5" s="126"/>
      <c r="D5" s="126"/>
      <c r="E5" s="512" t="s">
        <v>10</v>
      </c>
      <c r="F5" s="521"/>
      <c r="G5" s="513"/>
      <c r="H5" s="512" t="s">
        <v>11</v>
      </c>
      <c r="I5" s="521"/>
      <c r="J5" s="513"/>
      <c r="K5" s="512" t="s">
        <v>12</v>
      </c>
      <c r="L5" s="519"/>
      <c r="M5" s="520"/>
      <c r="N5" s="512" t="s">
        <v>13</v>
      </c>
      <c r="O5" s="519"/>
      <c r="P5" s="518" t="s">
        <v>14</v>
      </c>
      <c r="Q5" s="519"/>
      <c r="R5" s="520"/>
      <c r="S5" s="512" t="s">
        <v>15</v>
      </c>
      <c r="T5" s="519"/>
      <c r="U5" s="520"/>
      <c r="V5" s="512" t="s">
        <v>16</v>
      </c>
      <c r="W5" s="520"/>
      <c r="X5" s="518" t="s">
        <v>13</v>
      </c>
      <c r="Y5" s="519"/>
      <c r="Z5" s="519"/>
      <c r="AA5" s="520"/>
      <c r="AB5" s="518" t="s">
        <v>17</v>
      </c>
      <c r="AC5" s="520"/>
      <c r="AD5" s="126"/>
      <c r="AE5" s="128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</row>
    <row r="6" spans="1:81" ht="16.5" thickBot="1" x14ac:dyDescent="0.3">
      <c r="A6" s="128"/>
      <c r="B6" s="128"/>
      <c r="C6" s="126"/>
      <c r="D6" s="126"/>
      <c r="E6" s="146" t="s">
        <v>18</v>
      </c>
      <c r="F6" s="148" t="s">
        <v>31</v>
      </c>
      <c r="G6" s="156" t="s">
        <v>32</v>
      </c>
      <c r="H6" s="146" t="s">
        <v>18</v>
      </c>
      <c r="I6" s="148" t="s">
        <v>31</v>
      </c>
      <c r="J6" s="156" t="s">
        <v>32</v>
      </c>
      <c r="K6" s="146" t="s">
        <v>18</v>
      </c>
      <c r="L6" s="148" t="s">
        <v>31</v>
      </c>
      <c r="M6" s="220" t="s">
        <v>32</v>
      </c>
      <c r="N6" s="221" t="s">
        <v>18</v>
      </c>
      <c r="O6" s="222" t="s">
        <v>19</v>
      </c>
      <c r="P6" s="221" t="s">
        <v>19</v>
      </c>
      <c r="Q6" s="223" t="s">
        <v>32</v>
      </c>
      <c r="R6" s="220" t="s">
        <v>31</v>
      </c>
      <c r="S6" s="146" t="s">
        <v>19</v>
      </c>
      <c r="T6" s="148" t="s">
        <v>32</v>
      </c>
      <c r="U6" s="156" t="s">
        <v>31</v>
      </c>
      <c r="V6" s="224" t="s">
        <v>32</v>
      </c>
      <c r="W6" s="156" t="s">
        <v>31</v>
      </c>
      <c r="X6" s="224" t="s">
        <v>31</v>
      </c>
      <c r="Y6" s="148" t="s">
        <v>32</v>
      </c>
      <c r="Z6" s="148" t="s">
        <v>32</v>
      </c>
      <c r="AA6" s="220" t="s">
        <v>31</v>
      </c>
      <c r="AB6" s="221" t="s">
        <v>18</v>
      </c>
      <c r="AC6" s="222" t="s">
        <v>19</v>
      </c>
      <c r="AD6" s="126"/>
      <c r="AE6" s="128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</row>
    <row r="7" spans="1:81" ht="16.5" thickBot="1" x14ac:dyDescent="0.3">
      <c r="A7" s="158" t="s">
        <v>36</v>
      </c>
      <c r="B7" s="159" t="s">
        <v>37</v>
      </c>
      <c r="C7" s="160" t="s">
        <v>3</v>
      </c>
      <c r="D7" s="225" t="s">
        <v>38</v>
      </c>
      <c r="E7" s="162">
        <v>1</v>
      </c>
      <c r="F7" s="165">
        <v>2</v>
      </c>
      <c r="G7" s="166">
        <v>3</v>
      </c>
      <c r="H7" s="162">
        <v>4</v>
      </c>
      <c r="I7" s="165">
        <v>5</v>
      </c>
      <c r="J7" s="166">
        <v>6</v>
      </c>
      <c r="K7" s="162">
        <v>7</v>
      </c>
      <c r="L7" s="165">
        <v>8</v>
      </c>
      <c r="M7" s="166">
        <v>9</v>
      </c>
      <c r="N7" s="162">
        <v>10</v>
      </c>
      <c r="O7" s="166">
        <v>11</v>
      </c>
      <c r="P7" s="162">
        <v>12</v>
      </c>
      <c r="Q7" s="165">
        <v>13</v>
      </c>
      <c r="R7" s="166">
        <v>14</v>
      </c>
      <c r="S7" s="162">
        <v>15</v>
      </c>
      <c r="T7" s="165">
        <v>16</v>
      </c>
      <c r="U7" s="166">
        <v>17</v>
      </c>
      <c r="V7" s="162">
        <v>18</v>
      </c>
      <c r="W7" s="166">
        <v>19</v>
      </c>
      <c r="X7" s="162">
        <v>20</v>
      </c>
      <c r="Y7" s="165">
        <v>21</v>
      </c>
      <c r="Z7" s="165">
        <v>22</v>
      </c>
      <c r="AA7" s="166">
        <v>23</v>
      </c>
      <c r="AB7" s="162">
        <v>24</v>
      </c>
      <c r="AC7" s="166">
        <v>25</v>
      </c>
      <c r="AD7" s="175" t="s">
        <v>4</v>
      </c>
      <c r="AE7" s="176" t="s">
        <v>26</v>
      </c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</row>
    <row r="8" spans="1:81" ht="30" customHeight="1" x14ac:dyDescent="0.25">
      <c r="A8" s="177">
        <v>1</v>
      </c>
      <c r="B8" s="226">
        <f>IF(OR($Y$3="",$C8=""),"",IFERROR(VLOOKUP($Y$3&amp;$A8,Choice!$A$17:$K$217,11,FALSE),""))</f>
        <v>1</v>
      </c>
      <c r="C8" s="227" t="str">
        <f>IF($Y$3="","",IFERROR(VLOOKUP($Y$3&amp;$A8,Choice!$A$17:$K$217,5,FALSE),""))</f>
        <v>Henderson Rob</v>
      </c>
      <c r="D8" s="228" t="str">
        <f>IF(OR($Y$3="",$C8=""),"",IFERROR(VLOOKUP($Y$3&amp;$A8,Choice!$A$17:$K$217,6,FALSE),""))</f>
        <v>S</v>
      </c>
      <c r="E8" s="184"/>
      <c r="F8" s="185"/>
      <c r="G8" s="186"/>
      <c r="H8" s="184"/>
      <c r="I8" s="185"/>
      <c r="J8" s="186"/>
      <c r="K8" s="184"/>
      <c r="L8" s="185"/>
      <c r="M8" s="186"/>
      <c r="N8" s="184"/>
      <c r="O8" s="186"/>
      <c r="P8" s="184"/>
      <c r="Q8" s="185"/>
      <c r="R8" s="186"/>
      <c r="S8" s="184"/>
      <c r="T8" s="185"/>
      <c r="U8" s="186"/>
      <c r="V8" s="184"/>
      <c r="W8" s="186"/>
      <c r="X8" s="184"/>
      <c r="Y8" s="185"/>
      <c r="Z8" s="185"/>
      <c r="AA8" s="186"/>
      <c r="AB8" s="184"/>
      <c r="AC8" s="186"/>
      <c r="AD8" s="229"/>
      <c r="AE8" s="19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</row>
    <row r="9" spans="1:81" ht="30" customHeight="1" x14ac:dyDescent="0.25">
      <c r="A9" s="192">
        <v>2</v>
      </c>
      <c r="B9" s="230">
        <f>IF(OR($Y$3="",$C9=""),"",IFERROR(VLOOKUP($Y$3&amp;$A9,Choice!$A$17:$K$217,11,FALSE),""))</f>
        <v>78</v>
      </c>
      <c r="C9" s="227" t="str">
        <f>IF($Y$3="","",IFERROR(VLOOKUP($Y$3&amp;$A9,Choice!$A$17:$K$217,5,FALSE),""))</f>
        <v>Grimmbacher Corne</v>
      </c>
      <c r="D9" s="231" t="str">
        <f>IF(OR($Y$3="",$C9=""),"",IFERROR(VLOOKUP($Y$3&amp;$A9,Choice!$A$17:$K$217,6,FALSE),""))</f>
        <v>L</v>
      </c>
      <c r="E9" s="197"/>
      <c r="F9" s="195"/>
      <c r="G9" s="196"/>
      <c r="H9" s="197"/>
      <c r="I9" s="195"/>
      <c r="J9" s="196"/>
      <c r="K9" s="197"/>
      <c r="L9" s="195"/>
      <c r="M9" s="196"/>
      <c r="N9" s="197"/>
      <c r="O9" s="196"/>
      <c r="P9" s="197"/>
      <c r="Q9" s="195"/>
      <c r="R9" s="196"/>
      <c r="S9" s="197"/>
      <c r="T9" s="195"/>
      <c r="U9" s="196"/>
      <c r="V9" s="197"/>
      <c r="W9" s="196"/>
      <c r="X9" s="197"/>
      <c r="Y9" s="195"/>
      <c r="Z9" s="195"/>
      <c r="AA9" s="196"/>
      <c r="AB9" s="197"/>
      <c r="AC9" s="196"/>
      <c r="AD9" s="232"/>
      <c r="AE9" s="201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</row>
    <row r="10" spans="1:81" ht="30" customHeight="1" x14ac:dyDescent="0.25">
      <c r="A10" s="192">
        <v>3</v>
      </c>
      <c r="B10" s="230">
        <f>IF(OR($Y$3="",$C10=""),"",IFERROR(VLOOKUP($Y$3&amp;$A10,Choice!$A$17:$K$217,11,FALSE),""))</f>
        <v>60</v>
      </c>
      <c r="C10" s="227" t="str">
        <f>IF($Y$3="","",IFERROR(VLOOKUP($Y$3&amp;$A10,Choice!$A$17:$K$217,5,FALSE),""))</f>
        <v>Smit Quinlan</v>
      </c>
      <c r="D10" s="231" t="str">
        <f>IF(OR($Y$3="",$C10=""),"",IFERROR(VLOOKUP($Y$3&amp;$A10,Choice!$A$17:$K$217,6,FALSE),""))</f>
        <v>S</v>
      </c>
      <c r="E10" s="197"/>
      <c r="F10" s="195"/>
      <c r="G10" s="196"/>
      <c r="H10" s="197"/>
      <c r="I10" s="195"/>
      <c r="J10" s="196"/>
      <c r="K10" s="197"/>
      <c r="L10" s="195"/>
      <c r="M10" s="196"/>
      <c r="N10" s="197"/>
      <c r="O10" s="196"/>
      <c r="P10" s="197"/>
      <c r="Q10" s="195"/>
      <c r="R10" s="196"/>
      <c r="S10" s="197"/>
      <c r="T10" s="195"/>
      <c r="U10" s="196"/>
      <c r="V10" s="197"/>
      <c r="W10" s="196"/>
      <c r="X10" s="197"/>
      <c r="Y10" s="195"/>
      <c r="Z10" s="195"/>
      <c r="AA10" s="196"/>
      <c r="AB10" s="197"/>
      <c r="AC10" s="196"/>
      <c r="AD10" s="232"/>
      <c r="AE10" s="20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</row>
    <row r="11" spans="1:81" ht="30" customHeight="1" x14ac:dyDescent="0.25">
      <c r="A11" s="192">
        <v>4</v>
      </c>
      <c r="B11" s="230">
        <f>IF(OR($Y$3="",$C11=""),"",IFERROR(VLOOKUP($Y$3&amp;$A11,Choice!$A$17:$K$217,11,FALSE),""))</f>
        <v>50</v>
      </c>
      <c r="C11" s="227" t="str">
        <f>IF($Y$3="","",IFERROR(VLOOKUP($Y$3&amp;$A11,Choice!$A$17:$K$217,5,FALSE),""))</f>
        <v>Vermaak Coen</v>
      </c>
      <c r="D11" s="231" t="str">
        <f>IF(OR($Y$3="",$C11=""),"",IFERROR(VLOOKUP($Y$3&amp;$A11,Choice!$A$17:$K$217,6,FALSE),""))</f>
        <v>S</v>
      </c>
      <c r="E11" s="197"/>
      <c r="F11" s="195"/>
      <c r="G11" s="196"/>
      <c r="H11" s="197"/>
      <c r="I11" s="195"/>
      <c r="J11" s="196"/>
      <c r="K11" s="197"/>
      <c r="L11" s="195"/>
      <c r="M11" s="196"/>
      <c r="N11" s="197"/>
      <c r="O11" s="196"/>
      <c r="P11" s="197"/>
      <c r="Q11" s="195"/>
      <c r="R11" s="196"/>
      <c r="S11" s="197"/>
      <c r="T11" s="195"/>
      <c r="U11" s="196"/>
      <c r="V11" s="197"/>
      <c r="W11" s="196"/>
      <c r="X11" s="197"/>
      <c r="Y11" s="195"/>
      <c r="Z11" s="195"/>
      <c r="AA11" s="196"/>
      <c r="AB11" s="197"/>
      <c r="AC11" s="196"/>
      <c r="AD11" s="232"/>
      <c r="AE11" s="201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</row>
    <row r="12" spans="1:81" ht="30" customHeight="1" x14ac:dyDescent="0.25">
      <c r="A12" s="192">
        <v>5</v>
      </c>
      <c r="B12" s="230">
        <f>IF(OR($Y$3="",$C12=""),"",IFERROR(VLOOKUP($Y$3&amp;$A12,Choice!$A$17:$K$217,11,FALSE),""))</f>
        <v>48</v>
      </c>
      <c r="C12" s="227" t="str">
        <f>IF($Y$3="","",IFERROR(VLOOKUP($Y$3&amp;$A12,Choice!$A$17:$K$217,5,FALSE),""))</f>
        <v>Vermaak Coen (Jnr)</v>
      </c>
      <c r="D12" s="231" t="str">
        <f>IF(OR($Y$3="",$C12=""),"",IFERROR(VLOOKUP($Y$3&amp;$A12,Choice!$A$17:$K$217,6,FALSE),""))</f>
        <v>J</v>
      </c>
      <c r="E12" s="197"/>
      <c r="F12" s="195"/>
      <c r="G12" s="196"/>
      <c r="H12" s="197"/>
      <c r="I12" s="195"/>
      <c r="J12" s="196"/>
      <c r="K12" s="197"/>
      <c r="L12" s="195"/>
      <c r="M12" s="196"/>
      <c r="N12" s="197"/>
      <c r="O12" s="196"/>
      <c r="P12" s="197"/>
      <c r="Q12" s="195"/>
      <c r="R12" s="196"/>
      <c r="S12" s="197"/>
      <c r="T12" s="195"/>
      <c r="U12" s="196"/>
      <c r="V12" s="197"/>
      <c r="W12" s="196"/>
      <c r="X12" s="197"/>
      <c r="Y12" s="195"/>
      <c r="Z12" s="195"/>
      <c r="AA12" s="196"/>
      <c r="AB12" s="197"/>
      <c r="AC12" s="196"/>
      <c r="AD12" s="232"/>
      <c r="AE12" s="20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</row>
    <row r="13" spans="1:81" ht="30" customHeight="1" thickBot="1" x14ac:dyDescent="0.3">
      <c r="A13" s="202">
        <v>6</v>
      </c>
      <c r="B13" s="233" t="str">
        <f>IF(OR($Y$3="",$C13=""),"",IFERROR(VLOOKUP($Y$3&amp;$A13,Choice!$A$17:$K$217,11,FALSE),""))</f>
        <v/>
      </c>
      <c r="C13" s="234" t="str">
        <f>IF($Y$3="","",IFERROR(VLOOKUP($Y$3&amp;$A13,Choice!$A$17:$K$217,5,FALSE),""))</f>
        <v/>
      </c>
      <c r="D13" s="235" t="str">
        <f>IF(OR($Y$3="",$C13=""),"",IFERROR(VLOOKUP($Y$3&amp;$A13,Choice!$A$17:$K$217,6,FALSE),""))</f>
        <v/>
      </c>
      <c r="E13" s="206"/>
      <c r="F13" s="207"/>
      <c r="G13" s="208"/>
      <c r="H13" s="206"/>
      <c r="I13" s="207"/>
      <c r="J13" s="208"/>
      <c r="K13" s="206"/>
      <c r="L13" s="207"/>
      <c r="M13" s="208"/>
      <c r="N13" s="206"/>
      <c r="O13" s="208"/>
      <c r="P13" s="206"/>
      <c r="Q13" s="207"/>
      <c r="R13" s="208"/>
      <c r="S13" s="206"/>
      <c r="T13" s="207"/>
      <c r="U13" s="208"/>
      <c r="V13" s="206"/>
      <c r="W13" s="208"/>
      <c r="X13" s="206"/>
      <c r="Y13" s="207"/>
      <c r="Z13" s="207"/>
      <c r="AA13" s="208"/>
      <c r="AB13" s="206"/>
      <c r="AC13" s="208"/>
      <c r="AD13" s="236"/>
      <c r="AE13" s="201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</row>
    <row r="14" spans="1:81" ht="24" customHeight="1" thickBot="1" x14ac:dyDescent="0.35">
      <c r="A14" s="128"/>
      <c r="B14" s="128"/>
      <c r="C14" s="126"/>
      <c r="D14" s="126"/>
      <c r="E14" s="126"/>
      <c r="F14" s="126"/>
      <c r="G14" s="126"/>
      <c r="H14" s="126"/>
      <c r="I14" s="126"/>
      <c r="J14" s="131"/>
      <c r="K14" s="131"/>
      <c r="L14" s="131"/>
      <c r="M14" s="131"/>
      <c r="N14" s="131"/>
      <c r="O14" s="141"/>
      <c r="P14" s="141" t="s">
        <v>5</v>
      </c>
      <c r="Q14" s="141"/>
      <c r="R14" s="141"/>
      <c r="S14" s="141"/>
      <c r="T14" s="131"/>
      <c r="U14" s="131"/>
      <c r="V14" s="131"/>
      <c r="W14" s="131"/>
      <c r="X14" s="131"/>
      <c r="Y14" s="126"/>
      <c r="Z14" s="126"/>
      <c r="AA14" s="126"/>
      <c r="AB14" s="126"/>
      <c r="AC14" s="126"/>
      <c r="AD14" s="126"/>
      <c r="AE14" s="128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</row>
    <row r="15" spans="1:81" ht="24" customHeight="1" thickBot="1" x14ac:dyDescent="0.35">
      <c r="A15" s="128"/>
      <c r="B15" s="128"/>
      <c r="C15" s="130" t="s">
        <v>6</v>
      </c>
      <c r="D15" s="130"/>
      <c r="E15" s="135"/>
      <c r="F15" s="135"/>
      <c r="G15" s="135"/>
      <c r="H15" s="135"/>
      <c r="I15" s="135"/>
      <c r="J15" s="126"/>
      <c r="K15" s="126"/>
      <c r="L15" s="126"/>
      <c r="M15" s="126"/>
      <c r="N15" s="213" t="s">
        <v>7</v>
      </c>
      <c r="O15" s="214"/>
      <c r="P15" s="126"/>
      <c r="Q15" s="126"/>
      <c r="R15" s="213" t="s">
        <v>8</v>
      </c>
      <c r="S15" s="214"/>
      <c r="T15" s="126"/>
      <c r="U15" s="126"/>
      <c r="V15" s="126"/>
      <c r="W15" s="126"/>
      <c r="X15" s="126"/>
      <c r="Y15" s="126"/>
      <c r="Z15" s="130" t="s">
        <v>9</v>
      </c>
      <c r="AA15" s="135"/>
      <c r="AB15" s="135"/>
      <c r="AC15" s="135"/>
      <c r="AD15" s="216"/>
      <c r="AE15" s="128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</row>
    <row r="16" spans="1:81" ht="18.75" x14ac:dyDescent="0.3">
      <c r="A16" s="128"/>
      <c r="B16" s="128"/>
      <c r="C16" s="130"/>
      <c r="D16" s="130"/>
      <c r="E16" s="141"/>
      <c r="F16" s="141"/>
      <c r="G16" s="141"/>
      <c r="H16" s="141"/>
      <c r="I16" s="141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39"/>
      <c r="Z16" s="139"/>
      <c r="AA16" s="141"/>
      <c r="AB16" s="141"/>
      <c r="AC16" s="141"/>
      <c r="AD16" s="215"/>
      <c r="AE16" s="128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</row>
    <row r="17" spans="1:8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</row>
    <row r="18" spans="1:8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</row>
    <row r="19" spans="1:81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</row>
    <row r="20" spans="1:8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</row>
    <row r="21" spans="1:81" x14ac:dyDescent="0.25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</row>
    <row r="22" spans="1:81" ht="30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81" ht="30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81" ht="30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81" ht="30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81" ht="30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81" ht="30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81" ht="24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81" ht="24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81" ht="24" customHeight="1" x14ac:dyDescent="0.25"/>
    <row r="31" spans="1:81" ht="24" customHeight="1" x14ac:dyDescent="0.25"/>
  </sheetData>
  <sheetProtection algorithmName="SHA-512" hashValue="FZsHT6Kquah/CMWmq90FW53s3THj2s2vemouoVvdeKiI6vZHNyxd5j7xrbXaimgrItye2oOZPeYVM0iJanTIIA==" saltValue="iYnupejiGKCTzBZTrIiTVw==" spinCount="100000" sheet="1" objects="1" scenarios="1" selectLockedCells="1"/>
  <mergeCells count="10">
    <mergeCell ref="E3:G3"/>
    <mergeCell ref="E5:G5"/>
    <mergeCell ref="H5:J5"/>
    <mergeCell ref="K5:M5"/>
    <mergeCell ref="N5:O5"/>
    <mergeCell ref="P5:R5"/>
    <mergeCell ref="S5:U5"/>
    <mergeCell ref="AB5:AC5"/>
    <mergeCell ref="V5:W5"/>
    <mergeCell ref="X5:AA5"/>
  </mergeCells>
  <phoneticPr fontId="1" type="noConversion"/>
  <printOptions horizontalCentered="1" verticalCentered="1"/>
  <pageMargins left="0.5" right="0.57999999999999996" top="0.65" bottom="0.69" header="0.32" footer="0.51181102362204722"/>
  <pageSetup paperSize="9" scale="70" orientation="landscape" horizontalDpi="300" verticalDpi="300" r:id="rId1"/>
  <headerFooter alignWithMargins="0">
    <oddHeader>&amp;C&amp;"Arial,Bold"&amp;24Olympic Skeet</oddHeader>
    <oddFooter>&amp;LCopyright: All rights reserved&amp;CB F Black (082 517 5710)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T37"/>
  <sheetViews>
    <sheetView showGridLines="0" showRowColHeaders="0" showZeros="0" zoomScale="85" zoomScaleNormal="85" workbookViewId="0">
      <selection activeCell="AE3" sqref="AE3"/>
    </sheetView>
  </sheetViews>
  <sheetFormatPr defaultColWidth="10.28515625" defaultRowHeight="15.75" x14ac:dyDescent="0.25"/>
  <cols>
    <col min="1" max="2" width="5.28515625" style="1" customWidth="1"/>
    <col min="3" max="3" width="28.28515625" style="1" customWidth="1"/>
    <col min="4" max="29" width="5.28515625" style="1" customWidth="1"/>
    <col min="30" max="30" width="9.85546875" style="1" customWidth="1"/>
    <col min="31" max="31" width="10.28515625" style="2" customWidth="1"/>
    <col min="32" max="16384" width="10.28515625" style="1"/>
  </cols>
  <sheetData>
    <row r="1" spans="1:46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46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8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46" ht="19.5" thickBot="1" x14ac:dyDescent="0.35">
      <c r="A3" s="129"/>
      <c r="B3" s="129"/>
      <c r="C3" s="126"/>
      <c r="D3" s="130" t="s">
        <v>21</v>
      </c>
      <c r="E3" s="499">
        <f>IF(Choice!H4="","",Choice!H4)</f>
        <v>43743</v>
      </c>
      <c r="F3" s="500"/>
      <c r="G3" s="500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26"/>
      <c r="X3" s="130" t="s">
        <v>1</v>
      </c>
      <c r="Y3" s="3">
        <v>2</v>
      </c>
      <c r="Z3" s="126"/>
      <c r="AA3" s="134" t="s">
        <v>2</v>
      </c>
      <c r="AB3" s="46"/>
      <c r="AC3" s="126"/>
      <c r="AD3" s="134" t="s">
        <v>44</v>
      </c>
      <c r="AE3" s="49">
        <v>1</v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</row>
    <row r="4" spans="1:46" ht="19.5" thickBot="1" x14ac:dyDescent="0.35">
      <c r="A4" s="128"/>
      <c r="B4" s="128"/>
      <c r="C4" s="130"/>
      <c r="D4" s="130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9"/>
      <c r="Y4" s="131"/>
      <c r="Z4" s="140"/>
      <c r="AA4" s="131"/>
      <c r="AB4" s="139"/>
      <c r="AC4" s="141"/>
      <c r="AD4" s="131"/>
      <c r="AE4" s="128"/>
      <c r="AF4" s="126"/>
      <c r="AG4" s="126"/>
      <c r="AH4" s="126"/>
      <c r="AI4" s="126"/>
      <c r="AJ4" s="126"/>
      <c r="AK4" s="126"/>
      <c r="AL4" s="126"/>
      <c r="AM4" s="126"/>
      <c r="AN4" s="217" t="s">
        <v>44</v>
      </c>
      <c r="AO4" s="126"/>
      <c r="AP4" s="126"/>
      <c r="AQ4" s="126"/>
      <c r="AR4" s="126"/>
      <c r="AS4" s="126"/>
      <c r="AT4" s="126"/>
    </row>
    <row r="5" spans="1:46" ht="16.5" thickBot="1" x14ac:dyDescent="0.3">
      <c r="A5" s="128"/>
      <c r="B5" s="128"/>
      <c r="C5" s="126"/>
      <c r="D5" s="126"/>
      <c r="E5" s="512" t="s">
        <v>10</v>
      </c>
      <c r="F5" s="521"/>
      <c r="G5" s="521"/>
      <c r="H5" s="513"/>
      <c r="I5" s="512" t="s">
        <v>11</v>
      </c>
      <c r="J5" s="521"/>
      <c r="K5" s="521"/>
      <c r="L5" s="513"/>
      <c r="M5" s="508" t="s">
        <v>12</v>
      </c>
      <c r="N5" s="511"/>
      <c r="O5" s="508" t="s">
        <v>13</v>
      </c>
      <c r="P5" s="507"/>
      <c r="Q5" s="507"/>
      <c r="R5" s="511"/>
      <c r="S5" s="507" t="s">
        <v>14</v>
      </c>
      <c r="T5" s="507"/>
      <c r="U5" s="512" t="s">
        <v>15</v>
      </c>
      <c r="V5" s="521"/>
      <c r="W5" s="521"/>
      <c r="X5" s="513"/>
      <c r="Y5" s="512" t="s">
        <v>16</v>
      </c>
      <c r="Z5" s="521"/>
      <c r="AA5" s="521"/>
      <c r="AB5" s="513"/>
      <c r="AC5" s="126"/>
      <c r="AD5" s="126"/>
      <c r="AE5" s="128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</row>
    <row r="6" spans="1:46" ht="16.5" thickBot="1" x14ac:dyDescent="0.3">
      <c r="A6" s="128"/>
      <c r="B6" s="128"/>
      <c r="C6" s="126"/>
      <c r="D6" s="126"/>
      <c r="E6" s="142" t="s">
        <v>18</v>
      </c>
      <c r="F6" s="143" t="s">
        <v>19</v>
      </c>
      <c r="G6" s="144" t="s">
        <v>31</v>
      </c>
      <c r="H6" s="145" t="s">
        <v>32</v>
      </c>
      <c r="I6" s="146" t="s">
        <v>18</v>
      </c>
      <c r="J6" s="147" t="s">
        <v>19</v>
      </c>
      <c r="K6" s="148" t="s">
        <v>31</v>
      </c>
      <c r="L6" s="149" t="s">
        <v>32</v>
      </c>
      <c r="M6" s="150" t="s">
        <v>31</v>
      </c>
      <c r="N6" s="151" t="s">
        <v>32</v>
      </c>
      <c r="O6" s="152" t="s">
        <v>18</v>
      </c>
      <c r="P6" s="153" t="s">
        <v>19</v>
      </c>
      <c r="Q6" s="522" t="s">
        <v>27</v>
      </c>
      <c r="R6" s="523"/>
      <c r="S6" s="154" t="s">
        <v>32</v>
      </c>
      <c r="T6" s="155" t="s">
        <v>31</v>
      </c>
      <c r="U6" s="146" t="s">
        <v>18</v>
      </c>
      <c r="V6" s="147" t="s">
        <v>19</v>
      </c>
      <c r="W6" s="148" t="s">
        <v>32</v>
      </c>
      <c r="X6" s="156" t="s">
        <v>31</v>
      </c>
      <c r="Y6" s="146" t="s">
        <v>19</v>
      </c>
      <c r="Z6" s="147" t="s">
        <v>18</v>
      </c>
      <c r="AA6" s="148" t="s">
        <v>32</v>
      </c>
      <c r="AB6" s="149" t="s">
        <v>31</v>
      </c>
      <c r="AC6" s="157" t="s">
        <v>20</v>
      </c>
      <c r="AD6" s="126"/>
      <c r="AE6" s="128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</row>
    <row r="7" spans="1:46" ht="16.5" thickBot="1" x14ac:dyDescent="0.3">
      <c r="A7" s="158" t="s">
        <v>36</v>
      </c>
      <c r="B7" s="159" t="s">
        <v>37</v>
      </c>
      <c r="C7" s="160" t="s">
        <v>3</v>
      </c>
      <c r="D7" s="161" t="s">
        <v>38</v>
      </c>
      <c r="E7" s="162">
        <v>1</v>
      </c>
      <c r="F7" s="163">
        <v>2</v>
      </c>
      <c r="G7" s="163">
        <v>3</v>
      </c>
      <c r="H7" s="164">
        <v>4</v>
      </c>
      <c r="I7" s="162">
        <v>5</v>
      </c>
      <c r="J7" s="165">
        <v>6</v>
      </c>
      <c r="K7" s="165">
        <v>7</v>
      </c>
      <c r="L7" s="166">
        <v>8</v>
      </c>
      <c r="M7" s="167">
        <v>9</v>
      </c>
      <c r="N7" s="168">
        <v>10</v>
      </c>
      <c r="O7" s="169">
        <v>11</v>
      </c>
      <c r="P7" s="165">
        <v>12</v>
      </c>
      <c r="Q7" s="165">
        <v>13</v>
      </c>
      <c r="R7" s="170">
        <v>14</v>
      </c>
      <c r="S7" s="171">
        <v>15</v>
      </c>
      <c r="T7" s="172">
        <v>16</v>
      </c>
      <c r="U7" s="173">
        <v>17</v>
      </c>
      <c r="V7" s="169">
        <v>18</v>
      </c>
      <c r="W7" s="174">
        <v>19</v>
      </c>
      <c r="X7" s="172">
        <v>20</v>
      </c>
      <c r="Y7" s="162">
        <v>21</v>
      </c>
      <c r="Z7" s="165">
        <v>22</v>
      </c>
      <c r="AA7" s="165">
        <v>23</v>
      </c>
      <c r="AB7" s="166">
        <v>24</v>
      </c>
      <c r="AC7" s="175">
        <v>25</v>
      </c>
      <c r="AD7" s="175" t="s">
        <v>4</v>
      </c>
      <c r="AE7" s="176" t="s">
        <v>26</v>
      </c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</row>
    <row r="8" spans="1:46" ht="30" customHeight="1" x14ac:dyDescent="0.25">
      <c r="A8" s="177">
        <v>1</v>
      </c>
      <c r="B8" s="178">
        <f>IF(OR($Y$3="",$C8=""),"",IFERROR(VLOOKUP($Y$3&amp;$A8,Choice!$A$17:$K$217,11,FALSE),""))</f>
        <v>1</v>
      </c>
      <c r="C8" s="179" t="str">
        <f>IF($Y$3="","",IFERROR(VLOOKUP($Y$3&amp;$A8,Choice!$A$17:$K$217,5,FALSE),""))</f>
        <v>Henderson Rob</v>
      </c>
      <c r="D8" s="180" t="str">
        <f>IF(OR($Y$3="",$C8=""),"",IFERROR(VLOOKUP($Y$3&amp;$A8,Choice!$A$17:$K$217,6,FALSE),""))</f>
        <v>S</v>
      </c>
      <c r="E8" s="181"/>
      <c r="F8" s="182"/>
      <c r="G8" s="182"/>
      <c r="H8" s="183"/>
      <c r="I8" s="184"/>
      <c r="J8" s="185"/>
      <c r="K8" s="185"/>
      <c r="L8" s="186"/>
      <c r="M8" s="181"/>
      <c r="N8" s="183"/>
      <c r="O8" s="181"/>
      <c r="P8" s="185"/>
      <c r="Q8" s="185"/>
      <c r="R8" s="183"/>
      <c r="S8" s="187"/>
      <c r="T8" s="188"/>
      <c r="U8" s="181"/>
      <c r="V8" s="182"/>
      <c r="W8" s="182"/>
      <c r="X8" s="183"/>
      <c r="Y8" s="184"/>
      <c r="Z8" s="185"/>
      <c r="AA8" s="185"/>
      <c r="AB8" s="189"/>
      <c r="AC8" s="190"/>
      <c r="AD8" s="190"/>
      <c r="AE8" s="191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</row>
    <row r="9" spans="1:46" ht="30" customHeight="1" x14ac:dyDescent="0.25">
      <c r="A9" s="192">
        <v>2</v>
      </c>
      <c r="B9" s="193">
        <f>IF(OR($Y$3="",$C9=""),"",IFERROR(VLOOKUP($Y$3&amp;$A9,Choice!$A$17:$K$217,11,FALSE),""))</f>
        <v>78</v>
      </c>
      <c r="C9" s="179" t="str">
        <f>IF($Y$3="","",IFERROR(VLOOKUP($Y$3&amp;$A9,Choice!$A$17:$K$217,5,FALSE),""))</f>
        <v>Grimmbacher Corne</v>
      </c>
      <c r="D9" s="194" t="str">
        <f>IF(OR($Y$3="",$C9=""),"",IFERROR(VLOOKUP($Y$3&amp;$A9,Choice!$A$17:$K$217,6,FALSE),""))</f>
        <v>L</v>
      </c>
      <c r="E9" s="184"/>
      <c r="F9" s="195"/>
      <c r="G9" s="195"/>
      <c r="H9" s="196"/>
      <c r="I9" s="197"/>
      <c r="J9" s="195"/>
      <c r="K9" s="195"/>
      <c r="L9" s="196"/>
      <c r="M9" s="197"/>
      <c r="N9" s="196"/>
      <c r="O9" s="197"/>
      <c r="P9" s="195"/>
      <c r="Q9" s="195"/>
      <c r="R9" s="196"/>
      <c r="S9" s="198"/>
      <c r="T9" s="199"/>
      <c r="U9" s="197"/>
      <c r="V9" s="195"/>
      <c r="W9" s="195"/>
      <c r="X9" s="196"/>
      <c r="Y9" s="197"/>
      <c r="Z9" s="195"/>
      <c r="AA9" s="195"/>
      <c r="AB9" s="199"/>
      <c r="AC9" s="200"/>
      <c r="AD9" s="200"/>
      <c r="AE9" s="201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</row>
    <row r="10" spans="1:46" ht="30" customHeight="1" x14ac:dyDescent="0.25">
      <c r="A10" s="192">
        <v>3</v>
      </c>
      <c r="B10" s="193">
        <f>IF(OR($Y$3="",$C10=""),"",IFERROR(VLOOKUP($Y$3&amp;$A10,Choice!$A$17:$K$217,11,FALSE),""))</f>
        <v>60</v>
      </c>
      <c r="C10" s="179" t="str">
        <f>IF($Y$3="","",IFERROR(VLOOKUP($Y$3&amp;$A10,Choice!$A$17:$K$217,5,FALSE),""))</f>
        <v>Smit Quinlan</v>
      </c>
      <c r="D10" s="194" t="str">
        <f>IF(OR($Y$3="",$C10=""),"",IFERROR(VLOOKUP($Y$3&amp;$A10,Choice!$A$17:$K$217,6,FALSE),""))</f>
        <v>S</v>
      </c>
      <c r="E10" s="197"/>
      <c r="F10" s="195"/>
      <c r="G10" s="195"/>
      <c r="H10" s="196"/>
      <c r="I10" s="197"/>
      <c r="J10" s="195"/>
      <c r="K10" s="195"/>
      <c r="L10" s="196"/>
      <c r="M10" s="197"/>
      <c r="N10" s="196"/>
      <c r="O10" s="197"/>
      <c r="P10" s="195"/>
      <c r="Q10" s="195"/>
      <c r="R10" s="196"/>
      <c r="S10" s="198"/>
      <c r="T10" s="199"/>
      <c r="U10" s="197"/>
      <c r="V10" s="195"/>
      <c r="W10" s="195"/>
      <c r="X10" s="196"/>
      <c r="Y10" s="197"/>
      <c r="Z10" s="195"/>
      <c r="AA10" s="195"/>
      <c r="AB10" s="199"/>
      <c r="AC10" s="200"/>
      <c r="AD10" s="200"/>
      <c r="AE10" s="201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</row>
    <row r="11" spans="1:46" ht="30" customHeight="1" x14ac:dyDescent="0.25">
      <c r="A11" s="192">
        <v>4</v>
      </c>
      <c r="B11" s="193">
        <f>IF(OR($Y$3="",$C11=""),"",IFERROR(VLOOKUP($Y$3&amp;$A11,Choice!$A$17:$K$217,11,FALSE),""))</f>
        <v>50</v>
      </c>
      <c r="C11" s="179" t="str">
        <f>IF($Y$3="","",IFERROR(VLOOKUP($Y$3&amp;$A11,Choice!$A$17:$K$217,5,FALSE),""))</f>
        <v>Vermaak Coen</v>
      </c>
      <c r="D11" s="194" t="str">
        <f>IF(OR($Y$3="",$C11=""),"",IFERROR(VLOOKUP($Y$3&amp;$A11,Choice!$A$17:$K$217,6,FALSE),""))</f>
        <v>S</v>
      </c>
      <c r="E11" s="197"/>
      <c r="F11" s="195"/>
      <c r="G11" s="195"/>
      <c r="H11" s="196"/>
      <c r="I11" s="197"/>
      <c r="J11" s="195"/>
      <c r="K11" s="195"/>
      <c r="L11" s="196"/>
      <c r="M11" s="197"/>
      <c r="N11" s="196"/>
      <c r="O11" s="197"/>
      <c r="P11" s="195"/>
      <c r="Q11" s="195"/>
      <c r="R11" s="196"/>
      <c r="S11" s="198"/>
      <c r="T11" s="199"/>
      <c r="U11" s="197"/>
      <c r="V11" s="195"/>
      <c r="W11" s="195"/>
      <c r="X11" s="196"/>
      <c r="Y11" s="197"/>
      <c r="Z11" s="195"/>
      <c r="AA11" s="195"/>
      <c r="AB11" s="199"/>
      <c r="AC11" s="200"/>
      <c r="AD11" s="200"/>
      <c r="AE11" s="201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</row>
    <row r="12" spans="1:46" ht="30" customHeight="1" x14ac:dyDescent="0.25">
      <c r="A12" s="192">
        <v>5</v>
      </c>
      <c r="B12" s="193">
        <f>IF(OR($Y$3="",$C12=""),"",IFERROR(VLOOKUP($Y$3&amp;$A12,Choice!$A$17:$K$217,11,FALSE),""))</f>
        <v>48</v>
      </c>
      <c r="C12" s="179" t="str">
        <f>IF($Y$3="","",IFERROR(VLOOKUP($Y$3&amp;$A12,Choice!$A$17:$K$217,5,FALSE),""))</f>
        <v>Vermaak Coen (Jnr)</v>
      </c>
      <c r="D12" s="194" t="str">
        <f>IF(OR($Y$3="",$C12=""),"",IFERROR(VLOOKUP($Y$3&amp;$A12,Choice!$A$17:$K$217,6,FALSE),""))</f>
        <v>J</v>
      </c>
      <c r="E12" s="197"/>
      <c r="F12" s="195"/>
      <c r="G12" s="195"/>
      <c r="H12" s="196"/>
      <c r="I12" s="197"/>
      <c r="J12" s="195"/>
      <c r="K12" s="195"/>
      <c r="L12" s="196"/>
      <c r="M12" s="197"/>
      <c r="N12" s="196"/>
      <c r="O12" s="197"/>
      <c r="P12" s="195"/>
      <c r="Q12" s="195"/>
      <c r="R12" s="196"/>
      <c r="S12" s="198"/>
      <c r="T12" s="199"/>
      <c r="U12" s="197"/>
      <c r="V12" s="195"/>
      <c r="W12" s="195"/>
      <c r="X12" s="196"/>
      <c r="Y12" s="197"/>
      <c r="Z12" s="195"/>
      <c r="AA12" s="195"/>
      <c r="AB12" s="199"/>
      <c r="AC12" s="200"/>
      <c r="AD12" s="200"/>
      <c r="AE12" s="201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</row>
    <row r="13" spans="1:46" ht="30" customHeight="1" thickBot="1" x14ac:dyDescent="0.3">
      <c r="A13" s="202">
        <v>6</v>
      </c>
      <c r="B13" s="203" t="str">
        <f>IF(OR($Y$3="",$C13=""),"",IFERROR(VLOOKUP($Y$3&amp;$A13,Choice!$A$17:$K$217,11,FALSE),""))</f>
        <v/>
      </c>
      <c r="C13" s="204" t="str">
        <f>IF($Y$3="","",IFERROR(VLOOKUP($Y$3&amp;$A13,Choice!$A$17:$K$217,5,FALSE),""))</f>
        <v/>
      </c>
      <c r="D13" s="205" t="str">
        <f>IF(OR($Y$3="",$C13=""),"",IFERROR(VLOOKUP($Y$3&amp;$A13,Choice!$A$17:$K$217,6,FALSE),""))</f>
        <v/>
      </c>
      <c r="E13" s="206"/>
      <c r="F13" s="207"/>
      <c r="G13" s="207"/>
      <c r="H13" s="208"/>
      <c r="I13" s="206"/>
      <c r="J13" s="207"/>
      <c r="K13" s="207"/>
      <c r="L13" s="208"/>
      <c r="M13" s="206"/>
      <c r="N13" s="208"/>
      <c r="O13" s="206"/>
      <c r="P13" s="207"/>
      <c r="Q13" s="207"/>
      <c r="R13" s="208"/>
      <c r="S13" s="209"/>
      <c r="T13" s="210"/>
      <c r="U13" s="206"/>
      <c r="V13" s="207"/>
      <c r="W13" s="207"/>
      <c r="X13" s="208"/>
      <c r="Y13" s="206"/>
      <c r="Z13" s="207"/>
      <c r="AA13" s="207"/>
      <c r="AB13" s="210"/>
      <c r="AC13" s="211"/>
      <c r="AD13" s="212"/>
      <c r="AE13" s="201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</row>
    <row r="14" spans="1:46" ht="24" customHeight="1" thickBot="1" x14ac:dyDescent="0.35">
      <c r="A14" s="128"/>
      <c r="B14" s="128"/>
      <c r="C14" s="126"/>
      <c r="D14" s="126"/>
      <c r="E14" s="126"/>
      <c r="F14" s="126"/>
      <c r="G14" s="126"/>
      <c r="H14" s="126"/>
      <c r="I14" s="126"/>
      <c r="J14" s="131"/>
      <c r="K14" s="131"/>
      <c r="L14" s="131"/>
      <c r="M14" s="131"/>
      <c r="N14" s="131"/>
      <c r="O14" s="141"/>
      <c r="P14" s="141"/>
      <c r="Q14" s="141"/>
      <c r="R14" s="141" t="s">
        <v>5</v>
      </c>
      <c r="S14" s="141"/>
      <c r="T14" s="141"/>
      <c r="U14" s="141"/>
      <c r="V14" s="131"/>
      <c r="W14" s="131"/>
      <c r="X14" s="131"/>
      <c r="Y14" s="131"/>
      <c r="Z14" s="131"/>
      <c r="AA14" s="126"/>
      <c r="AB14" s="126"/>
      <c r="AC14" s="126"/>
      <c r="AD14" s="126"/>
      <c r="AE14" s="128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</row>
    <row r="15" spans="1:46" ht="24" customHeight="1" thickBot="1" x14ac:dyDescent="0.35">
      <c r="A15" s="128"/>
      <c r="B15" s="128"/>
      <c r="C15" s="130" t="s">
        <v>6</v>
      </c>
      <c r="D15" s="130"/>
      <c r="E15" s="135"/>
      <c r="F15" s="135"/>
      <c r="G15" s="135"/>
      <c r="H15" s="135"/>
      <c r="I15" s="135"/>
      <c r="J15" s="126"/>
      <c r="K15" s="126"/>
      <c r="L15" s="126"/>
      <c r="M15" s="126"/>
      <c r="N15" s="213" t="s">
        <v>7</v>
      </c>
      <c r="O15" s="214"/>
      <c r="P15" s="215"/>
      <c r="Q15" s="215"/>
      <c r="R15" s="126"/>
      <c r="S15" s="126"/>
      <c r="T15" s="213" t="s">
        <v>8</v>
      </c>
      <c r="U15" s="214"/>
      <c r="V15" s="126"/>
      <c r="W15" s="126"/>
      <c r="X15" s="126"/>
      <c r="Y15" s="126"/>
      <c r="Z15" s="126"/>
      <c r="AA15" s="126"/>
      <c r="AB15" s="130" t="s">
        <v>9</v>
      </c>
      <c r="AC15" s="135"/>
      <c r="AD15" s="216"/>
      <c r="AE15" s="128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</row>
    <row r="16" spans="1:46" ht="12" customHeight="1" x14ac:dyDescent="0.3">
      <c r="A16" s="128"/>
      <c r="B16" s="128"/>
      <c r="C16" s="130"/>
      <c r="D16" s="130"/>
      <c r="E16" s="141"/>
      <c r="F16" s="141"/>
      <c r="G16" s="141"/>
      <c r="H16" s="141"/>
      <c r="I16" s="141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39"/>
      <c r="AB16" s="139"/>
      <c r="AC16" s="141"/>
      <c r="AD16" s="215"/>
      <c r="AE16" s="128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</row>
    <row r="17" spans="1:46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</row>
    <row r="18" spans="1:46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</row>
    <row r="19" spans="1:46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</row>
    <row r="20" spans="1:46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</row>
    <row r="21" spans="1:4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</row>
    <row r="22" spans="1:46" ht="30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</row>
    <row r="23" spans="1:46" ht="30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</row>
    <row r="24" spans="1:46" ht="30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</row>
    <row r="25" spans="1:46" ht="30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</row>
    <row r="26" spans="1:46" ht="30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46" ht="30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46" ht="24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46" ht="24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46" ht="24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46" ht="24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4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</sheetData>
  <sheetProtection algorithmName="SHA-512" hashValue="WIJlq7gavfIz8+Of3mPTz10q/ciObggi4oPezFjikQyOQ4yDLSiSX0aHUGGAlDTKSrV3WXLnTs1E/3kjY9FDPA==" saltValue="qKRv524Dj2kpwdLR4jONwA==" spinCount="100000" sheet="1" objects="1" scenarios="1" selectLockedCells="1"/>
  <mergeCells count="9">
    <mergeCell ref="Q6:R6"/>
    <mergeCell ref="S5:T5"/>
    <mergeCell ref="U5:X5"/>
    <mergeCell ref="Y5:AB5"/>
    <mergeCell ref="E3:G3"/>
    <mergeCell ref="E5:H5"/>
    <mergeCell ref="I5:L5"/>
    <mergeCell ref="M5:N5"/>
    <mergeCell ref="O5:R5"/>
  </mergeCells>
  <phoneticPr fontId="1" type="noConversion"/>
  <printOptions horizontalCentered="1" verticalCentered="1"/>
  <pageMargins left="0.43" right="0.4" top="0.98" bottom="0.68" header="0.64" footer="0.47"/>
  <pageSetup paperSize="9" scale="72" orientation="landscape" horizontalDpi="300" verticalDpi="300" r:id="rId1"/>
  <headerFooter alignWithMargins="0">
    <oddHeader>&amp;C&amp;"Arial,Bold"&amp;24English Skeet</oddHeader>
    <oddFooter>&amp;LCopyright: All rights reserved&amp;CB F Black (082 517 5710)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BV35"/>
  <sheetViews>
    <sheetView showGridLines="0" showRowColHeaders="0" showZeros="0" zoomScale="71" zoomScaleNormal="71" workbookViewId="0">
      <selection activeCell="AB3" sqref="AB3"/>
    </sheetView>
  </sheetViews>
  <sheetFormatPr defaultColWidth="9.7109375" defaultRowHeight="15.75" x14ac:dyDescent="0.25"/>
  <cols>
    <col min="1" max="1" width="5.28515625" style="15" customWidth="1"/>
    <col min="2" max="2" width="5.85546875" style="15" customWidth="1"/>
    <col min="3" max="3" width="28.140625" style="15" customWidth="1"/>
    <col min="4" max="4" width="5.140625" style="15" customWidth="1"/>
    <col min="5" max="25" width="5.85546875" style="15" customWidth="1"/>
    <col min="26" max="26" width="5.28515625" style="15" customWidth="1"/>
    <col min="27" max="27" width="6.42578125" style="15" customWidth="1"/>
    <col min="28" max="34" width="5.85546875" style="15" customWidth="1"/>
    <col min="35" max="35" width="9.85546875" style="15" customWidth="1"/>
    <col min="36" max="36" width="8.42578125" style="15" customWidth="1"/>
    <col min="37" max="48" width="9.7109375" style="15"/>
    <col min="49" max="49" width="10.28515625" style="15" bestFit="1" customWidth="1"/>
    <col min="50" max="16384" width="9.7109375" style="15"/>
  </cols>
  <sheetData>
    <row r="1" spans="1:74" ht="25.5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 t="s">
        <v>103</v>
      </c>
      <c r="O1" s="79" t="str">
        <f>AU4</f>
        <v>Anti-Clockwise</v>
      </c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80" t="str">
        <f>ClubName</f>
        <v>Valley Gun Club</v>
      </c>
      <c r="AF1" s="77"/>
      <c r="AG1" s="77"/>
      <c r="AH1" s="77"/>
      <c r="AI1" s="77"/>
      <c r="AJ1" s="81"/>
      <c r="AK1" s="81"/>
      <c r="AL1" s="81"/>
      <c r="AM1" s="81"/>
      <c r="AN1" s="76"/>
      <c r="AO1" s="76"/>
      <c r="AP1" s="76"/>
      <c r="AQ1" s="76"/>
      <c r="AR1" s="76"/>
      <c r="AS1" s="76"/>
      <c r="AT1" s="76">
        <v>1</v>
      </c>
      <c r="AU1" s="76" t="s">
        <v>101</v>
      </c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</row>
    <row r="2" spans="1:74" ht="21.75" customHeight="1" x14ac:dyDescent="0.4">
      <c r="A2" s="77"/>
      <c r="B2" s="82"/>
      <c r="C2" s="77"/>
      <c r="D2" s="77"/>
      <c r="E2" s="77"/>
      <c r="F2" s="77"/>
      <c r="G2" s="77"/>
      <c r="H2" s="83"/>
      <c r="I2" s="84"/>
      <c r="J2" s="84"/>
      <c r="K2" s="84"/>
      <c r="L2" s="84"/>
      <c r="M2" s="84"/>
      <c r="N2" s="84"/>
      <c r="O2" s="84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81"/>
      <c r="AK2" s="81"/>
      <c r="AL2" s="81"/>
      <c r="AM2" s="81"/>
      <c r="AN2" s="76"/>
      <c r="AO2" s="76"/>
      <c r="AP2" s="76"/>
      <c r="AQ2" s="76"/>
      <c r="AR2" s="76"/>
      <c r="AS2" s="76"/>
      <c r="AT2" s="76">
        <v>2</v>
      </c>
      <c r="AU2" s="76" t="s">
        <v>48</v>
      </c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81"/>
      <c r="BH2" s="81"/>
      <c r="BI2" s="81"/>
      <c r="BJ2" s="81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</row>
    <row r="3" spans="1:74" ht="24" thickBot="1" x14ac:dyDescent="0.4">
      <c r="A3" s="85"/>
      <c r="B3" s="77"/>
      <c r="C3" s="77"/>
      <c r="D3" s="86" t="s">
        <v>21</v>
      </c>
      <c r="E3" s="499">
        <f>IF(Choice!H4="","",Choice!H4)</f>
        <v>43743</v>
      </c>
      <c r="F3" s="500"/>
      <c r="G3" s="500"/>
      <c r="H3" s="87"/>
      <c r="I3" s="87"/>
      <c r="J3" s="87"/>
      <c r="K3" s="77"/>
      <c r="L3" s="77"/>
      <c r="M3" s="88"/>
      <c r="N3" s="77"/>
      <c r="O3" s="89"/>
      <c r="P3" s="77"/>
      <c r="Q3" s="77"/>
      <c r="R3" s="77"/>
      <c r="S3" s="77"/>
      <c r="T3" s="77"/>
      <c r="U3" s="77"/>
      <c r="V3" s="90"/>
      <c r="W3" s="90"/>
      <c r="X3" s="90"/>
      <c r="Y3" s="91"/>
      <c r="Z3" s="90"/>
      <c r="AA3" s="92" t="s">
        <v>1</v>
      </c>
      <c r="AB3" s="74">
        <v>2</v>
      </c>
      <c r="AC3" s="77"/>
      <c r="AD3" s="77"/>
      <c r="AE3" s="92" t="s">
        <v>2</v>
      </c>
      <c r="AF3" s="16"/>
      <c r="AG3" s="93"/>
      <c r="AH3" s="92" t="s">
        <v>44</v>
      </c>
      <c r="AI3" s="16">
        <v>1</v>
      </c>
      <c r="AJ3" s="81"/>
      <c r="AK3" s="81"/>
      <c r="AL3" s="81"/>
      <c r="AM3" s="81"/>
      <c r="AN3" s="76"/>
      <c r="AO3" s="76"/>
      <c r="AP3" s="76">
        <f>AT4</f>
        <v>3</v>
      </c>
      <c r="AQ3" s="76" t="s">
        <v>39</v>
      </c>
      <c r="AR3" s="76"/>
      <c r="AS3" s="76"/>
      <c r="AT3" s="76">
        <v>3</v>
      </c>
      <c r="AU3" s="76" t="s">
        <v>102</v>
      </c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81"/>
      <c r="BH3" s="81"/>
      <c r="BI3" s="81"/>
      <c r="BJ3" s="81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1:74" ht="27" customHeight="1" thickBot="1" x14ac:dyDescent="0.35">
      <c r="A4" s="85"/>
      <c r="B4" s="94"/>
      <c r="C4" s="95"/>
      <c r="D4" s="96"/>
      <c r="E4" s="96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7"/>
      <c r="AE4" s="90"/>
      <c r="AF4" s="98"/>
      <c r="AG4" s="90"/>
      <c r="AH4" s="90"/>
      <c r="AI4" s="77"/>
      <c r="AJ4" s="81"/>
      <c r="AK4" s="81"/>
      <c r="AL4" s="81"/>
      <c r="AM4" s="81"/>
      <c r="AN4" s="76"/>
      <c r="AO4" s="76"/>
      <c r="AP4" s="76">
        <f>IF(AI3="","",AI3)</f>
        <v>1</v>
      </c>
      <c r="AQ4" s="76" t="s">
        <v>44</v>
      </c>
      <c r="AR4" s="76"/>
      <c r="AS4" s="76"/>
      <c r="AT4" s="53">
        <v>3</v>
      </c>
      <c r="AU4" s="76" t="str">
        <f>VLOOKUP(AT4,AT1:AU3,2,FALSE)</f>
        <v>Anti-Clockwise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81"/>
      <c r="BH4" s="81"/>
      <c r="BI4" s="81"/>
      <c r="BJ4" s="81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</row>
    <row r="5" spans="1:74" ht="16.5" thickBot="1" x14ac:dyDescent="0.3">
      <c r="A5" s="99" t="s">
        <v>36</v>
      </c>
      <c r="B5" s="100" t="s">
        <v>37</v>
      </c>
      <c r="C5" s="101" t="s">
        <v>3</v>
      </c>
      <c r="D5" s="102" t="s">
        <v>38</v>
      </c>
      <c r="E5" s="504" t="s">
        <v>28</v>
      </c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4"/>
      <c r="AE5" s="524"/>
      <c r="AF5" s="524"/>
      <c r="AG5" s="524"/>
      <c r="AH5" s="525"/>
      <c r="AI5" s="103" t="s">
        <v>4</v>
      </c>
      <c r="AJ5" s="103" t="s">
        <v>23</v>
      </c>
      <c r="AK5" s="81"/>
      <c r="AL5" s="81"/>
      <c r="AM5" s="81"/>
      <c r="AN5" s="76"/>
      <c r="AO5" s="76"/>
      <c r="AP5" s="76">
        <f>COUNTA(AP6:AP11)-COUNTIF(AP6:AP11,"")</f>
        <v>5</v>
      </c>
      <c r="AQ5" s="76" t="s">
        <v>43</v>
      </c>
      <c r="AR5" s="76">
        <f>IF(AP4="","",AP5/AP4)</f>
        <v>5</v>
      </c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81"/>
      <c r="BH5" s="81"/>
      <c r="BI5" s="81"/>
      <c r="BJ5" s="81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</row>
    <row r="6" spans="1:74" s="17" customFormat="1" ht="18.600000000000001" customHeight="1" x14ac:dyDescent="0.25">
      <c r="A6" s="548">
        <v>1</v>
      </c>
      <c r="B6" s="527">
        <f>IF(OR($AB$3="",$C6=""),"",IFERROR(VLOOKUP($AB$3&amp;$A6,Choice!$A$17:$K$217,11,FALSE),""))</f>
        <v>1</v>
      </c>
      <c r="C6" s="545" t="str">
        <f>IF($AP$3="","",IF($AP$3=2,BB6,AX6))</f>
        <v>Henderson Rob</v>
      </c>
      <c r="D6" s="527" t="str">
        <f>IF(OR($AB$3="",$C6=""),"",IFERROR(VLOOKUP($AB$3&amp;$A6,Choice!$A$17:$K$217,6,FALSE),""))</f>
        <v>S</v>
      </c>
      <c r="E6" s="526" t="s">
        <v>10</v>
      </c>
      <c r="F6" s="527"/>
      <c r="G6" s="527"/>
      <c r="H6" s="527"/>
      <c r="I6" s="528"/>
      <c r="J6" s="529" t="s">
        <v>11</v>
      </c>
      <c r="K6" s="527"/>
      <c r="L6" s="527"/>
      <c r="M6" s="527"/>
      <c r="N6" s="530"/>
      <c r="O6" s="526" t="s">
        <v>12</v>
      </c>
      <c r="P6" s="527"/>
      <c r="Q6" s="527"/>
      <c r="R6" s="527"/>
      <c r="S6" s="528"/>
      <c r="T6" s="529" t="s">
        <v>13</v>
      </c>
      <c r="U6" s="527"/>
      <c r="V6" s="527"/>
      <c r="W6" s="527"/>
      <c r="X6" s="530"/>
      <c r="Y6" s="526" t="s">
        <v>14</v>
      </c>
      <c r="Z6" s="527"/>
      <c r="AA6" s="527"/>
      <c r="AB6" s="527"/>
      <c r="AC6" s="528"/>
      <c r="AD6" s="531" t="s">
        <v>29</v>
      </c>
      <c r="AE6" s="531"/>
      <c r="AF6" s="531"/>
      <c r="AG6" s="531"/>
      <c r="AH6" s="532"/>
      <c r="AI6" s="537"/>
      <c r="AJ6" s="551"/>
      <c r="AK6" s="104"/>
      <c r="AL6" s="104"/>
      <c r="AM6" s="104"/>
      <c r="AN6" s="105">
        <v>1</v>
      </c>
      <c r="AO6" s="105">
        <f>IF(AP6="","",1)</f>
        <v>1</v>
      </c>
      <c r="AP6" s="105" t="str">
        <f>IF($AB$3="","",IFERROR(VLOOKUP($AB$3&amp;AN6,Choice!$A$17:$K$217,5,FALSE),""))</f>
        <v>Henderson Rob</v>
      </c>
      <c r="AQ6" s="105" t="str">
        <f>IF(AP6="","",IF(Choice!$AC$22=1,"",IF(Choice!AD14="","",Choice!AD14)))</f>
        <v/>
      </c>
      <c r="AR6" s="105" t="str">
        <f>IF(AP6="","",IF(Choice!$AC$22=1,"",IF(Choice!AE14="","",Choice!AE14)))</f>
        <v/>
      </c>
      <c r="AS6" s="105">
        <v>1</v>
      </c>
      <c r="AT6" s="105" t="str">
        <f>IFERROR(VLOOKUP(SMALL($AO$6:$AO$11,1),$AO$6:$AP$11,2,FALSE),"")</f>
        <v>Henderson Rob</v>
      </c>
      <c r="AU6" s="105" t="str">
        <f>IF($AT6="","",VLOOKUP($AT6,$AP$6:$AR$11,2,FALSE))</f>
        <v/>
      </c>
      <c r="AV6" s="105" t="str">
        <f>IF($AT6="","",VLOOKUP($AT6,$AP$6:$AR$11,3,FALSE))</f>
        <v/>
      </c>
      <c r="AW6" s="105">
        <f>IF(AP4="","",IF(AR5&lt;0.5,AP4-AP5-AP5-1,IF(AR5&lt;1,AP4-AP5-1,AP4-1)))</f>
        <v>0</v>
      </c>
      <c r="AX6" s="105" t="str">
        <f t="shared" ref="AX6:AX11" si="0">IFERROR(VLOOKUP(AW6+1,$AS$6:$AT$11,2,FALSE),"")</f>
        <v>Henderson Rob</v>
      </c>
      <c r="AY6" s="105" t="str">
        <f>IF($AX6="","",VLOOKUP($AX6,$AP$6:$AX$11,2,FALSE))</f>
        <v/>
      </c>
      <c r="AZ6" s="105" t="str">
        <f>IF($AX6="","",VLOOKUP($AX6,$AP$6:$AR$11,3,FALSE))</f>
        <v/>
      </c>
      <c r="BA6" s="105">
        <f>IF(AW6="","",IF(AW6=0,0,$AP$5-AW6))</f>
        <v>0</v>
      </c>
      <c r="BB6" s="105" t="str">
        <f t="shared" ref="BB6:BB11" si="1">IF(BA6="","",VLOOKUP(BA6+1,$AS$6:$AT$11,2,FALSE))</f>
        <v>Henderson Rob</v>
      </c>
      <c r="BC6" s="105" t="str">
        <f>IF($BB6="","",VLOOKUP($BB6,$AP$6:$AX$11,2,FALSE))</f>
        <v/>
      </c>
      <c r="BD6" s="105" t="str">
        <f>IF($BB6="","",VLOOKUP($BB6,$AP$6:$AR$11,3,FALSE))</f>
        <v/>
      </c>
      <c r="BE6" s="105"/>
      <c r="BF6" s="105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</row>
    <row r="7" spans="1:74" s="17" customFormat="1" ht="18" customHeight="1" thickBot="1" x14ac:dyDescent="0.3">
      <c r="A7" s="541"/>
      <c r="B7" s="543" t="str">
        <f>IF(OR($Y$3="",$C7=""),"",VLOOKUP($Y$3&amp;$A7,Choice!$A$17:$K$217,11,FALSE))</f>
        <v/>
      </c>
      <c r="C7" s="546"/>
      <c r="D7" s="543" t="str">
        <f>IF(OR($Y$3="",$C7=""),"",VLOOKUP($Y$3&amp;$A7,Choice!$A$17:$K$217,11,FALSE))</f>
        <v/>
      </c>
      <c r="E7" s="106">
        <v>1</v>
      </c>
      <c r="F7" s="107">
        <v>2</v>
      </c>
      <c r="G7" s="107">
        <v>3</v>
      </c>
      <c r="H7" s="107">
        <v>4</v>
      </c>
      <c r="I7" s="108">
        <v>5</v>
      </c>
      <c r="J7" s="109">
        <v>6</v>
      </c>
      <c r="K7" s="107">
        <v>7</v>
      </c>
      <c r="L7" s="107">
        <v>8</v>
      </c>
      <c r="M7" s="107">
        <v>9</v>
      </c>
      <c r="N7" s="110">
        <v>10</v>
      </c>
      <c r="O7" s="106">
        <v>11</v>
      </c>
      <c r="P7" s="107">
        <v>12</v>
      </c>
      <c r="Q7" s="107">
        <v>13</v>
      </c>
      <c r="R7" s="107">
        <v>14</v>
      </c>
      <c r="S7" s="108">
        <v>15</v>
      </c>
      <c r="T7" s="109">
        <v>16</v>
      </c>
      <c r="U7" s="107">
        <v>17</v>
      </c>
      <c r="V7" s="107">
        <v>18</v>
      </c>
      <c r="W7" s="107">
        <v>19</v>
      </c>
      <c r="X7" s="110">
        <v>20</v>
      </c>
      <c r="Y7" s="106">
        <v>21</v>
      </c>
      <c r="Z7" s="107">
        <v>22</v>
      </c>
      <c r="AA7" s="107">
        <v>23</v>
      </c>
      <c r="AB7" s="107">
        <v>24</v>
      </c>
      <c r="AC7" s="108">
        <v>25</v>
      </c>
      <c r="AD7" s="533"/>
      <c r="AE7" s="533"/>
      <c r="AF7" s="533"/>
      <c r="AG7" s="533"/>
      <c r="AH7" s="534"/>
      <c r="AI7" s="538"/>
      <c r="AJ7" s="552"/>
      <c r="AK7" s="104"/>
      <c r="AL7" s="104"/>
      <c r="AM7" s="104"/>
      <c r="AN7" s="105">
        <v>2</v>
      </c>
      <c r="AO7" s="105">
        <f>IF(AP7="","",2)</f>
        <v>2</v>
      </c>
      <c r="AP7" s="105" t="str">
        <f>IF($AB$3="","",IFERROR(VLOOKUP($AB$3&amp;AN7,Choice!$A$17:$K$217,5,FALSE),""))</f>
        <v>Grimmbacher Corne</v>
      </c>
      <c r="AQ7" s="105" t="str">
        <f>IF(AP7="","",IF(Choice!$AC$22=1,"",IF(Choice!AD15="","",Choice!AD15)))</f>
        <v/>
      </c>
      <c r="AR7" s="105" t="str">
        <f>IF(AP7="","",IF(Choice!$AC$22=1,"",IF(Choice!AE15="","",Choice!AE15)))</f>
        <v/>
      </c>
      <c r="AS7" s="105">
        <v>2</v>
      </c>
      <c r="AT7" s="105" t="str">
        <f>IFERROR(VLOOKUP(SMALL($AO$6:$AO$11,2),$AO$6:$AP$11,2,FALSE),"")</f>
        <v>Grimmbacher Corne</v>
      </c>
      <c r="AU7" s="105" t="str">
        <f t="shared" ref="AU7:AU11" si="2">IF($AT7="","",VLOOKUP($AT7,$AP$6:$AR$11,2,FALSE))</f>
        <v/>
      </c>
      <c r="AV7" s="105" t="str">
        <f t="shared" ref="AV7:AV11" si="3">IF($AT7="","",VLOOKUP($AT7,$AP$6:$AR$11,3,FALSE))</f>
        <v/>
      </c>
      <c r="AW7" s="105">
        <f>IF($AP$4="","",IF($AT7="","",IF(AW6+1=$AP$5,0,AW6+1)))</f>
        <v>1</v>
      </c>
      <c r="AX7" s="105" t="str">
        <f t="shared" si="0"/>
        <v>Grimmbacher Corne</v>
      </c>
      <c r="AY7" s="105" t="str">
        <f t="shared" ref="AY7:AY11" si="4">IF($AX7="","",VLOOKUP($AX7,$AP$6:$AX$11,2,FALSE))</f>
        <v/>
      </c>
      <c r="AZ7" s="105" t="str">
        <f t="shared" ref="AZ7:AZ11" si="5">IF($AX7="","",VLOOKUP($AX7,$AP$6:$AR$11,3,FALSE))</f>
        <v/>
      </c>
      <c r="BA7" s="105">
        <f>IF(AW7="","",IF(BA6+1=$AP$5,0,BA6+1))</f>
        <v>1</v>
      </c>
      <c r="BB7" s="105" t="str">
        <f t="shared" si="1"/>
        <v>Grimmbacher Corne</v>
      </c>
      <c r="BC7" s="105" t="str">
        <f t="shared" ref="BC7:BC11" si="6">IF($BB7="","",VLOOKUP($BB7,$AP$6:$AX$11,2,FALSE))</f>
        <v/>
      </c>
      <c r="BD7" s="105" t="str">
        <f t="shared" ref="BD7:BD11" si="7">IF($BB7="","",VLOOKUP($BB7,$AP$6:$AR$11,3,FALSE))</f>
        <v/>
      </c>
      <c r="BE7" s="105"/>
      <c r="BF7" s="105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</row>
    <row r="8" spans="1:74" ht="39.950000000000003" customHeight="1" thickBot="1" x14ac:dyDescent="0.3">
      <c r="A8" s="542"/>
      <c r="B8" s="544" t="str">
        <f>IF(OR($Y$3="",$C8=""),"",VLOOKUP($Y$3&amp;$A8,Choice!$A$17:$K$217,11,FALSE))</f>
        <v/>
      </c>
      <c r="C8" s="547"/>
      <c r="D8" s="544" t="str">
        <f>IF(OR($Y$3="",$C8=""),"",VLOOKUP($Y$3&amp;$A8,Choice!$A$17:$K$217,11,FALSE))</f>
        <v/>
      </c>
      <c r="E8" s="111"/>
      <c r="F8" s="112"/>
      <c r="G8" s="112"/>
      <c r="H8" s="112"/>
      <c r="I8" s="113"/>
      <c r="J8" s="114"/>
      <c r="K8" s="112"/>
      <c r="L8" s="112"/>
      <c r="M8" s="112"/>
      <c r="N8" s="115"/>
      <c r="O8" s="111"/>
      <c r="P8" s="112"/>
      <c r="Q8" s="112"/>
      <c r="R8" s="112"/>
      <c r="S8" s="113"/>
      <c r="T8" s="114"/>
      <c r="U8" s="112"/>
      <c r="V8" s="112"/>
      <c r="W8" s="112"/>
      <c r="X8" s="115"/>
      <c r="Y8" s="111"/>
      <c r="Z8" s="112"/>
      <c r="AA8" s="112"/>
      <c r="AB8" s="112"/>
      <c r="AC8" s="113"/>
      <c r="AD8" s="535"/>
      <c r="AE8" s="535"/>
      <c r="AF8" s="535"/>
      <c r="AG8" s="535"/>
      <c r="AH8" s="536"/>
      <c r="AI8" s="539"/>
      <c r="AJ8" s="553"/>
      <c r="AK8" s="81"/>
      <c r="AL8" s="81"/>
      <c r="AM8" s="81"/>
      <c r="AN8" s="76">
        <v>3</v>
      </c>
      <c r="AO8" s="76">
        <f>IF(AP8="","",3)</f>
        <v>3</v>
      </c>
      <c r="AP8" s="105" t="str">
        <f>IF($AB$3="","",IFERROR(VLOOKUP($AB$3&amp;AN8,Choice!$A$17:$K$217,5,FALSE),""))</f>
        <v>Smit Quinlan</v>
      </c>
      <c r="AQ8" s="76" t="str">
        <f>IF(AP8="","",IF(Choice!$AC$22=1,"",IF(Choice!AD16="","",Choice!AD16)))</f>
        <v/>
      </c>
      <c r="AR8" s="76" t="str">
        <f>IF(AP8="","",IF(Choice!$AC$22=1,"",IF(Choice!AE16="","",Choice!AE16)))</f>
        <v/>
      </c>
      <c r="AS8" s="76">
        <v>3</v>
      </c>
      <c r="AT8" s="76" t="str">
        <f>IFERROR(VLOOKUP(SMALL($AO$6:$AO$11,3),$AO$6:$AP$11,2,FALSE),"")</f>
        <v>Smit Quinlan</v>
      </c>
      <c r="AU8" s="76" t="str">
        <f t="shared" si="2"/>
        <v/>
      </c>
      <c r="AV8" s="76" t="str">
        <f t="shared" si="3"/>
        <v/>
      </c>
      <c r="AW8" s="105">
        <f t="shared" ref="AW8:AW11" si="8">IF($AP$4="","",IF($AT8="","",IF(AW7+1=$AP$5,0,AW7+1)))</f>
        <v>2</v>
      </c>
      <c r="AX8" s="76" t="str">
        <f t="shared" si="0"/>
        <v>Smit Quinlan</v>
      </c>
      <c r="AY8" s="76" t="str">
        <f t="shared" si="4"/>
        <v/>
      </c>
      <c r="AZ8" s="76" t="str">
        <f t="shared" si="5"/>
        <v/>
      </c>
      <c r="BA8" s="76">
        <f t="shared" ref="BA8:BA11" si="9">IF(AW8="","",IF(BA7+1=$AP$5,0,BA7+1))</f>
        <v>2</v>
      </c>
      <c r="BB8" s="76" t="str">
        <f t="shared" si="1"/>
        <v>Smit Quinlan</v>
      </c>
      <c r="BC8" s="76" t="str">
        <f t="shared" si="6"/>
        <v/>
      </c>
      <c r="BD8" s="76" t="str">
        <f t="shared" si="7"/>
        <v/>
      </c>
      <c r="BE8" s="76"/>
      <c r="BF8" s="76"/>
      <c r="BG8" s="81"/>
      <c r="BH8" s="81"/>
      <c r="BI8" s="81"/>
      <c r="BJ8" s="81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</row>
    <row r="9" spans="1:74" s="17" customFormat="1" ht="18.600000000000001" customHeight="1" x14ac:dyDescent="0.25">
      <c r="A9" s="540">
        <v>2</v>
      </c>
      <c r="B9" s="527">
        <f>IF(OR($AB$3="",$C9=""),"",IFERROR(VLOOKUP($AB$3&amp;$A9,Choice!$A$17:$K$217,11,FALSE),""))</f>
        <v>78</v>
      </c>
      <c r="C9" s="545" t="str">
        <f>IF($AP$3="","",IF($AP$3=2,BB7,AX7))</f>
        <v>Grimmbacher Corne</v>
      </c>
      <c r="D9" s="530" t="str">
        <f>IF(OR($AB$3="",$C9=""),"",IFERROR(VLOOKUP($AB$3&amp;$A9,Choice!$A$17:$K$217,6,FALSE),""))</f>
        <v>L</v>
      </c>
      <c r="E9" s="526" t="s">
        <v>11</v>
      </c>
      <c r="F9" s="527"/>
      <c r="G9" s="527"/>
      <c r="H9" s="527"/>
      <c r="I9" s="528"/>
      <c r="J9" s="529" t="s">
        <v>12</v>
      </c>
      <c r="K9" s="527"/>
      <c r="L9" s="527"/>
      <c r="M9" s="527"/>
      <c r="N9" s="530"/>
      <c r="O9" s="526" t="s">
        <v>13</v>
      </c>
      <c r="P9" s="527"/>
      <c r="Q9" s="527"/>
      <c r="R9" s="527"/>
      <c r="S9" s="528"/>
      <c r="T9" s="529" t="s">
        <v>14</v>
      </c>
      <c r="U9" s="527"/>
      <c r="V9" s="527"/>
      <c r="W9" s="527"/>
      <c r="X9" s="530"/>
      <c r="Y9" s="554" t="s">
        <v>29</v>
      </c>
      <c r="Z9" s="531"/>
      <c r="AA9" s="531"/>
      <c r="AB9" s="531"/>
      <c r="AC9" s="532"/>
      <c r="AD9" s="529" t="s">
        <v>10</v>
      </c>
      <c r="AE9" s="527"/>
      <c r="AF9" s="527"/>
      <c r="AG9" s="527"/>
      <c r="AH9" s="528"/>
      <c r="AI9" s="537"/>
      <c r="AJ9" s="557"/>
      <c r="AK9" s="104"/>
      <c r="AL9" s="104"/>
      <c r="AM9" s="104"/>
      <c r="AN9" s="105">
        <v>4</v>
      </c>
      <c r="AO9" s="105">
        <f>IF(AP9="","",4)</f>
        <v>4</v>
      </c>
      <c r="AP9" s="105" t="str">
        <f>IF($AB$3="","",IFERROR(VLOOKUP($AB$3&amp;AN9,Choice!$A$17:$K$217,5,FALSE),""))</f>
        <v>Vermaak Coen</v>
      </c>
      <c r="AQ9" s="105" t="str">
        <f>IF(AP9="","",IF(Choice!$AC$22=1,"",IF(Choice!AD17="","",Choice!AD17)))</f>
        <v/>
      </c>
      <c r="AR9" s="105" t="str">
        <f>IF(AP9="","",IF(Choice!$AC$22=1,"",IF(Choice!AE17="","",Choice!AE17)))</f>
        <v/>
      </c>
      <c r="AS9" s="105">
        <v>4</v>
      </c>
      <c r="AT9" s="105" t="str">
        <f>IFERROR(VLOOKUP(SMALL($AO$6:$AO$11,4),$AO$6:$AP$11,2,FALSE),"")</f>
        <v>Vermaak Coen</v>
      </c>
      <c r="AU9" s="105" t="str">
        <f t="shared" si="2"/>
        <v/>
      </c>
      <c r="AV9" s="105" t="str">
        <f t="shared" si="3"/>
        <v/>
      </c>
      <c r="AW9" s="105">
        <f t="shared" si="8"/>
        <v>3</v>
      </c>
      <c r="AX9" s="105" t="str">
        <f t="shared" si="0"/>
        <v>Vermaak Coen</v>
      </c>
      <c r="AY9" s="105" t="str">
        <f t="shared" si="4"/>
        <v/>
      </c>
      <c r="AZ9" s="105" t="str">
        <f t="shared" si="5"/>
        <v/>
      </c>
      <c r="BA9" s="105">
        <f t="shared" si="9"/>
        <v>3</v>
      </c>
      <c r="BB9" s="105" t="str">
        <f t="shared" si="1"/>
        <v>Vermaak Coen</v>
      </c>
      <c r="BC9" s="105" t="str">
        <f t="shared" si="6"/>
        <v/>
      </c>
      <c r="BD9" s="105" t="str">
        <f t="shared" si="7"/>
        <v/>
      </c>
      <c r="BE9" s="105"/>
      <c r="BF9" s="105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</row>
    <row r="10" spans="1:74" s="17" customFormat="1" ht="18" customHeight="1" thickBot="1" x14ac:dyDescent="0.3">
      <c r="A10" s="541"/>
      <c r="B10" s="543" t="str">
        <f>IF(OR($Y$3="",$C10=""),"",VLOOKUP($Y$3&amp;$A10,Choice!$A$17:$K$217,11,FALSE))</f>
        <v/>
      </c>
      <c r="C10" s="546"/>
      <c r="D10" s="549" t="str">
        <f>IF(OR($Y$3="",$C10=""),"",VLOOKUP($Y$3&amp;$A10,Choice!$A$17:$K$217,11,FALSE))</f>
        <v/>
      </c>
      <c r="E10" s="106">
        <v>1</v>
      </c>
      <c r="F10" s="107">
        <v>2</v>
      </c>
      <c r="G10" s="107">
        <v>3</v>
      </c>
      <c r="H10" s="107">
        <v>4</v>
      </c>
      <c r="I10" s="108">
        <v>5</v>
      </c>
      <c r="J10" s="109">
        <v>6</v>
      </c>
      <c r="K10" s="107">
        <v>7</v>
      </c>
      <c r="L10" s="107">
        <v>8</v>
      </c>
      <c r="M10" s="107">
        <v>9</v>
      </c>
      <c r="N10" s="110">
        <v>10</v>
      </c>
      <c r="O10" s="106">
        <v>11</v>
      </c>
      <c r="P10" s="107">
        <v>12</v>
      </c>
      <c r="Q10" s="107">
        <v>13</v>
      </c>
      <c r="R10" s="107">
        <v>14</v>
      </c>
      <c r="S10" s="108">
        <v>15</v>
      </c>
      <c r="T10" s="109">
        <v>16</v>
      </c>
      <c r="U10" s="107">
        <v>17</v>
      </c>
      <c r="V10" s="107">
        <v>18</v>
      </c>
      <c r="W10" s="107">
        <v>19</v>
      </c>
      <c r="X10" s="110">
        <v>20</v>
      </c>
      <c r="Y10" s="555"/>
      <c r="Z10" s="533"/>
      <c r="AA10" s="533"/>
      <c r="AB10" s="533"/>
      <c r="AC10" s="534"/>
      <c r="AD10" s="109">
        <v>21</v>
      </c>
      <c r="AE10" s="107">
        <v>22</v>
      </c>
      <c r="AF10" s="107">
        <v>23</v>
      </c>
      <c r="AG10" s="107">
        <v>24</v>
      </c>
      <c r="AH10" s="108">
        <v>25</v>
      </c>
      <c r="AI10" s="538"/>
      <c r="AJ10" s="552"/>
      <c r="AK10" s="104"/>
      <c r="AL10" s="104"/>
      <c r="AM10" s="104"/>
      <c r="AN10" s="105">
        <v>5</v>
      </c>
      <c r="AO10" s="105">
        <f>IF(AP10="","",5)</f>
        <v>5</v>
      </c>
      <c r="AP10" s="105" t="str">
        <f>IF($AB$3="","",IFERROR(VLOOKUP($AB$3&amp;AN10,Choice!$A$17:$K$217,5,FALSE),""))</f>
        <v>Vermaak Coen (Jnr)</v>
      </c>
      <c r="AQ10" s="105" t="str">
        <f>IF(AP10="","",IF(Choice!$AC$22=1,"",IF(Choice!AD18="","",Choice!AD18)))</f>
        <v/>
      </c>
      <c r="AR10" s="105" t="str">
        <f>IF(AP10="","",IF(Choice!$AC$22=1,"",IF(Choice!AE18="","",Choice!AE18)))</f>
        <v/>
      </c>
      <c r="AS10" s="105">
        <v>5</v>
      </c>
      <c r="AT10" s="105" t="str">
        <f>IFERROR(VLOOKUP(SMALL($AO$6:$AO$11,5),$AO$6:$AP$11,2,FALSE),"")</f>
        <v>Vermaak Coen (Jnr)</v>
      </c>
      <c r="AU10" s="105" t="str">
        <f t="shared" si="2"/>
        <v/>
      </c>
      <c r="AV10" s="105" t="str">
        <f t="shared" si="3"/>
        <v/>
      </c>
      <c r="AW10" s="105">
        <f t="shared" si="8"/>
        <v>4</v>
      </c>
      <c r="AX10" s="105" t="str">
        <f t="shared" si="0"/>
        <v>Vermaak Coen (Jnr)</v>
      </c>
      <c r="AY10" s="105" t="str">
        <f t="shared" si="4"/>
        <v/>
      </c>
      <c r="AZ10" s="105" t="str">
        <f t="shared" si="5"/>
        <v/>
      </c>
      <c r="BA10" s="105">
        <f t="shared" si="9"/>
        <v>4</v>
      </c>
      <c r="BB10" s="105" t="str">
        <f t="shared" si="1"/>
        <v>Vermaak Coen (Jnr)</v>
      </c>
      <c r="BC10" s="105" t="str">
        <f t="shared" si="6"/>
        <v/>
      </c>
      <c r="BD10" s="105" t="str">
        <f t="shared" si="7"/>
        <v/>
      </c>
      <c r="BE10" s="105"/>
      <c r="BF10" s="105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</row>
    <row r="11" spans="1:74" ht="39.950000000000003" customHeight="1" thickBot="1" x14ac:dyDescent="0.3">
      <c r="A11" s="542"/>
      <c r="B11" s="544" t="str">
        <f>IF(OR($Y$3="",$C11=""),"",VLOOKUP($Y$3&amp;$A11,Choice!$A$17:$K$217,11,FALSE))</f>
        <v/>
      </c>
      <c r="C11" s="547"/>
      <c r="D11" s="550" t="str">
        <f>IF(OR($Y$3="",$C11=""),"",VLOOKUP($Y$3&amp;$A11,Choice!$A$17:$K$217,11,FALSE))</f>
        <v/>
      </c>
      <c r="E11" s="111"/>
      <c r="F11" s="112"/>
      <c r="G11" s="112"/>
      <c r="H11" s="112"/>
      <c r="I11" s="113"/>
      <c r="J11" s="114"/>
      <c r="K11" s="112"/>
      <c r="L11" s="112"/>
      <c r="M11" s="112"/>
      <c r="N11" s="115"/>
      <c r="O11" s="111"/>
      <c r="P11" s="112"/>
      <c r="Q11" s="112"/>
      <c r="R11" s="112"/>
      <c r="S11" s="113"/>
      <c r="T11" s="114"/>
      <c r="U11" s="112"/>
      <c r="V11" s="112"/>
      <c r="W11" s="112"/>
      <c r="X11" s="115"/>
      <c r="Y11" s="556"/>
      <c r="Z11" s="535"/>
      <c r="AA11" s="535"/>
      <c r="AB11" s="535"/>
      <c r="AC11" s="536"/>
      <c r="AD11" s="114"/>
      <c r="AE11" s="112"/>
      <c r="AF11" s="112"/>
      <c r="AG11" s="112"/>
      <c r="AH11" s="113"/>
      <c r="AI11" s="539"/>
      <c r="AJ11" s="553"/>
      <c r="AK11" s="81"/>
      <c r="AL11" s="81"/>
      <c r="AM11" s="81"/>
      <c r="AN11" s="76">
        <v>6</v>
      </c>
      <c r="AO11" s="76" t="str">
        <f>IF(AP11="","",6)</f>
        <v/>
      </c>
      <c r="AP11" s="105" t="str">
        <f>IF($AB$3="","",IFERROR(VLOOKUP($AB$3&amp;AN11,Choice!$A$17:$K$217,5,FALSE),""))</f>
        <v/>
      </c>
      <c r="AQ11" s="76" t="str">
        <f>IF(AP11="","",IF(Choice!$AC$22=1,"",IF(Choice!AD19="","",Choice!AD19)))</f>
        <v/>
      </c>
      <c r="AR11" s="76" t="str">
        <f>IF(AP11="","",IF(Choice!$AC$22=1,"",IF(Choice!AE19="","",Choice!AE19)))</f>
        <v/>
      </c>
      <c r="AS11" s="76">
        <v>6</v>
      </c>
      <c r="AT11" s="76" t="str">
        <f>IFERROR(VLOOKUP(SMALL($AO$6:$AO$11,6),$AO$6:$AP$11,2,FALSE),"")</f>
        <v/>
      </c>
      <c r="AU11" s="76" t="str">
        <f t="shared" si="2"/>
        <v/>
      </c>
      <c r="AV11" s="76" t="str">
        <f t="shared" si="3"/>
        <v/>
      </c>
      <c r="AW11" s="105" t="str">
        <f t="shared" si="8"/>
        <v/>
      </c>
      <c r="AX11" s="76" t="str">
        <f t="shared" si="0"/>
        <v/>
      </c>
      <c r="AY11" s="76" t="str">
        <f t="shared" si="4"/>
        <v/>
      </c>
      <c r="AZ11" s="76" t="str">
        <f t="shared" si="5"/>
        <v/>
      </c>
      <c r="BA11" s="76" t="str">
        <f t="shared" si="9"/>
        <v/>
      </c>
      <c r="BB11" s="76" t="str">
        <f t="shared" si="1"/>
        <v/>
      </c>
      <c r="BC11" s="76" t="str">
        <f t="shared" si="6"/>
        <v/>
      </c>
      <c r="BD11" s="76" t="str">
        <f t="shared" si="7"/>
        <v/>
      </c>
      <c r="BE11" s="76"/>
      <c r="BF11" s="76"/>
      <c r="BG11" s="81"/>
      <c r="BH11" s="81"/>
      <c r="BI11" s="81"/>
      <c r="BJ11" s="81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</row>
    <row r="12" spans="1:74" s="17" customFormat="1" ht="18.600000000000001" customHeight="1" x14ac:dyDescent="0.25">
      <c r="A12" s="540">
        <v>3</v>
      </c>
      <c r="B12" s="527">
        <f>IF(OR($AB$3="",$C12=""),"",IFERROR(VLOOKUP($AB$3&amp;$A12,Choice!$A$17:$K$217,11,FALSE),""))</f>
        <v>60</v>
      </c>
      <c r="C12" s="545" t="str">
        <f>IF($AP$3="","",IF($AP$3=2,BB8,AX8))</f>
        <v>Smit Quinlan</v>
      </c>
      <c r="D12" s="530" t="str">
        <f>IF(OR($AB$3="",$C12=""),"",IFERROR(VLOOKUP($AB$3&amp;$A12,Choice!$A$17:$K$217,6,FALSE),""))</f>
        <v>S</v>
      </c>
      <c r="E12" s="526" t="s">
        <v>12</v>
      </c>
      <c r="F12" s="527"/>
      <c r="G12" s="527"/>
      <c r="H12" s="527"/>
      <c r="I12" s="528"/>
      <c r="J12" s="529" t="s">
        <v>13</v>
      </c>
      <c r="K12" s="527"/>
      <c r="L12" s="527"/>
      <c r="M12" s="527"/>
      <c r="N12" s="530"/>
      <c r="O12" s="526" t="s">
        <v>14</v>
      </c>
      <c r="P12" s="527"/>
      <c r="Q12" s="527"/>
      <c r="R12" s="527"/>
      <c r="S12" s="528"/>
      <c r="T12" s="531" t="s">
        <v>29</v>
      </c>
      <c r="U12" s="531"/>
      <c r="V12" s="531"/>
      <c r="W12" s="531"/>
      <c r="X12" s="531"/>
      <c r="Y12" s="526" t="s">
        <v>10</v>
      </c>
      <c r="Z12" s="527"/>
      <c r="AA12" s="527"/>
      <c r="AB12" s="527"/>
      <c r="AC12" s="528"/>
      <c r="AD12" s="529" t="s">
        <v>11</v>
      </c>
      <c r="AE12" s="527"/>
      <c r="AF12" s="527"/>
      <c r="AG12" s="527"/>
      <c r="AH12" s="528"/>
      <c r="AI12" s="537"/>
      <c r="AJ12" s="557"/>
      <c r="AK12" s="104"/>
      <c r="AL12" s="104"/>
      <c r="AM12" s="104"/>
      <c r="AN12" s="105"/>
      <c r="AO12" s="105"/>
      <c r="AP12" s="105" t="s">
        <v>45</v>
      </c>
      <c r="AQ12" s="105" t="s">
        <v>38</v>
      </c>
      <c r="AR12" s="105" t="s">
        <v>37</v>
      </c>
      <c r="AS12" s="105"/>
      <c r="AT12" s="105" t="s">
        <v>46</v>
      </c>
      <c r="AU12" s="105" t="s">
        <v>38</v>
      </c>
      <c r="AV12" s="105" t="s">
        <v>37</v>
      </c>
      <c r="AW12" s="105"/>
      <c r="AX12" s="105" t="s">
        <v>47</v>
      </c>
      <c r="AY12" s="105" t="s">
        <v>38</v>
      </c>
      <c r="AZ12" s="105" t="s">
        <v>37</v>
      </c>
      <c r="BA12" s="105"/>
      <c r="BB12" s="105" t="s">
        <v>48</v>
      </c>
      <c r="BC12" s="105" t="s">
        <v>38</v>
      </c>
      <c r="BD12" s="105" t="s">
        <v>37</v>
      </c>
      <c r="BE12" s="105"/>
      <c r="BF12" s="105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</row>
    <row r="13" spans="1:74" s="17" customFormat="1" ht="18" customHeight="1" thickBot="1" x14ac:dyDescent="0.3">
      <c r="A13" s="541"/>
      <c r="B13" s="543" t="str">
        <f>IF(OR($Y$3="",$C13=""),"",VLOOKUP($Y$3&amp;$A13,Choice!$A$17:$K$217,11,FALSE))</f>
        <v/>
      </c>
      <c r="C13" s="546"/>
      <c r="D13" s="549" t="str">
        <f>IF(OR($Y$3="",$C13=""),"",VLOOKUP($Y$3&amp;$A13,Choice!$A$17:$K$217,11,FALSE))</f>
        <v/>
      </c>
      <c r="E13" s="106">
        <v>1</v>
      </c>
      <c r="F13" s="107">
        <v>2</v>
      </c>
      <c r="G13" s="107">
        <v>3</v>
      </c>
      <c r="H13" s="107">
        <v>4</v>
      </c>
      <c r="I13" s="108">
        <v>5</v>
      </c>
      <c r="J13" s="109">
        <v>6</v>
      </c>
      <c r="K13" s="107">
        <v>7</v>
      </c>
      <c r="L13" s="107">
        <v>8</v>
      </c>
      <c r="M13" s="107">
        <v>9</v>
      </c>
      <c r="N13" s="110">
        <v>10</v>
      </c>
      <c r="O13" s="106">
        <v>11</v>
      </c>
      <c r="P13" s="107">
        <v>12</v>
      </c>
      <c r="Q13" s="107">
        <v>13</v>
      </c>
      <c r="R13" s="107">
        <v>14</v>
      </c>
      <c r="S13" s="108">
        <v>15</v>
      </c>
      <c r="T13" s="533"/>
      <c r="U13" s="533"/>
      <c r="V13" s="533"/>
      <c r="W13" s="533"/>
      <c r="X13" s="533"/>
      <c r="Y13" s="106">
        <v>16</v>
      </c>
      <c r="Z13" s="107">
        <v>17</v>
      </c>
      <c r="AA13" s="107">
        <v>18</v>
      </c>
      <c r="AB13" s="107">
        <v>19</v>
      </c>
      <c r="AC13" s="108">
        <v>20</v>
      </c>
      <c r="AD13" s="109">
        <v>21</v>
      </c>
      <c r="AE13" s="107">
        <v>22</v>
      </c>
      <c r="AF13" s="107">
        <v>23</v>
      </c>
      <c r="AG13" s="107">
        <v>24</v>
      </c>
      <c r="AH13" s="108">
        <v>25</v>
      </c>
      <c r="AI13" s="538"/>
      <c r="AJ13" s="558"/>
      <c r="AK13" s="104"/>
      <c r="AL13" s="104"/>
      <c r="AM13" s="104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</row>
    <row r="14" spans="1:74" ht="39.950000000000003" customHeight="1" thickBot="1" x14ac:dyDescent="0.3">
      <c r="A14" s="542"/>
      <c r="B14" s="544" t="str">
        <f>IF(OR($Y$3="",$C14=""),"",VLOOKUP($Y$3&amp;$A14,Choice!$A$17:$K$217,11,FALSE))</f>
        <v/>
      </c>
      <c r="C14" s="547"/>
      <c r="D14" s="550" t="str">
        <f>IF(OR($Y$3="",$C14=""),"",VLOOKUP($Y$3&amp;$A14,Choice!$A$17:$K$217,11,FALSE))</f>
        <v/>
      </c>
      <c r="E14" s="111"/>
      <c r="F14" s="112"/>
      <c r="G14" s="112"/>
      <c r="H14" s="112"/>
      <c r="I14" s="113"/>
      <c r="J14" s="114"/>
      <c r="K14" s="112"/>
      <c r="L14" s="112"/>
      <c r="M14" s="112"/>
      <c r="N14" s="115"/>
      <c r="O14" s="111"/>
      <c r="P14" s="112"/>
      <c r="Q14" s="112"/>
      <c r="R14" s="112"/>
      <c r="S14" s="113"/>
      <c r="T14" s="535"/>
      <c r="U14" s="535"/>
      <c r="V14" s="535"/>
      <c r="W14" s="535"/>
      <c r="X14" s="535"/>
      <c r="Y14" s="111"/>
      <c r="Z14" s="112"/>
      <c r="AA14" s="112"/>
      <c r="AB14" s="112"/>
      <c r="AC14" s="113"/>
      <c r="AD14" s="114"/>
      <c r="AE14" s="112"/>
      <c r="AF14" s="112"/>
      <c r="AG14" s="112"/>
      <c r="AH14" s="113"/>
      <c r="AI14" s="539"/>
      <c r="AJ14" s="559"/>
      <c r="AK14" s="81"/>
      <c r="AL14" s="81"/>
      <c r="AM14" s="81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81"/>
      <c r="BG14" s="81"/>
      <c r="BH14" s="81"/>
      <c r="BI14" s="81"/>
      <c r="BJ14" s="81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</row>
    <row r="15" spans="1:74" s="17" customFormat="1" ht="18.600000000000001" customHeight="1" x14ac:dyDescent="0.25">
      <c r="A15" s="540">
        <v>4</v>
      </c>
      <c r="B15" s="527">
        <f>IF(OR($AB$3="",$C15=""),"",IFERROR(VLOOKUP($AB$3&amp;$A15,Choice!$A$17:$K$217,11,FALSE),""))</f>
        <v>50</v>
      </c>
      <c r="C15" s="545" t="str">
        <f>IF($AP$3="","",IF($AP$3=2,BB9,AX9))</f>
        <v>Vermaak Coen</v>
      </c>
      <c r="D15" s="530" t="str">
        <f>IF(OR($AB$3="",$C15=""),"",IFERROR(VLOOKUP($AB$3&amp;$A15,Choice!$A$17:$K$217,6,FALSE),""))</f>
        <v>S</v>
      </c>
      <c r="E15" s="526" t="s">
        <v>13</v>
      </c>
      <c r="F15" s="527"/>
      <c r="G15" s="527"/>
      <c r="H15" s="527"/>
      <c r="I15" s="528"/>
      <c r="J15" s="529" t="s">
        <v>14</v>
      </c>
      <c r="K15" s="527"/>
      <c r="L15" s="527"/>
      <c r="M15" s="527"/>
      <c r="N15" s="530"/>
      <c r="O15" s="554" t="s">
        <v>29</v>
      </c>
      <c r="P15" s="531"/>
      <c r="Q15" s="531"/>
      <c r="R15" s="531"/>
      <c r="S15" s="532"/>
      <c r="T15" s="529" t="s">
        <v>10</v>
      </c>
      <c r="U15" s="527"/>
      <c r="V15" s="527"/>
      <c r="W15" s="527"/>
      <c r="X15" s="530"/>
      <c r="Y15" s="526" t="s">
        <v>11</v>
      </c>
      <c r="Z15" s="527"/>
      <c r="AA15" s="527"/>
      <c r="AB15" s="527"/>
      <c r="AC15" s="528"/>
      <c r="AD15" s="529" t="s">
        <v>12</v>
      </c>
      <c r="AE15" s="527"/>
      <c r="AF15" s="527"/>
      <c r="AG15" s="527"/>
      <c r="AH15" s="530"/>
      <c r="AI15" s="537"/>
      <c r="AJ15" s="560"/>
      <c r="AK15" s="104"/>
      <c r="AL15" s="104"/>
      <c r="AM15" s="104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</row>
    <row r="16" spans="1:74" s="17" customFormat="1" ht="18" customHeight="1" thickBot="1" x14ac:dyDescent="0.3">
      <c r="A16" s="541"/>
      <c r="B16" s="543" t="str">
        <f>IF(OR($Y$3="",$C16=""),"",VLOOKUP($Y$3&amp;$A16,Choice!$A$17:$K$217,11,FALSE))</f>
        <v/>
      </c>
      <c r="C16" s="546"/>
      <c r="D16" s="549" t="str">
        <f>IF(OR($Y$3="",$C16=""),"",VLOOKUP($Y$3&amp;$A16,Choice!$A$17:$K$217,11,FALSE))</f>
        <v/>
      </c>
      <c r="E16" s="106">
        <v>1</v>
      </c>
      <c r="F16" s="107">
        <v>2</v>
      </c>
      <c r="G16" s="107">
        <v>3</v>
      </c>
      <c r="H16" s="107">
        <v>4</v>
      </c>
      <c r="I16" s="108">
        <v>5</v>
      </c>
      <c r="J16" s="109">
        <v>6</v>
      </c>
      <c r="K16" s="107">
        <v>7</v>
      </c>
      <c r="L16" s="107">
        <v>8</v>
      </c>
      <c r="M16" s="107">
        <v>9</v>
      </c>
      <c r="N16" s="110">
        <v>10</v>
      </c>
      <c r="O16" s="555"/>
      <c r="P16" s="533"/>
      <c r="Q16" s="533"/>
      <c r="R16" s="533"/>
      <c r="S16" s="534"/>
      <c r="T16" s="109">
        <v>11</v>
      </c>
      <c r="U16" s="107">
        <v>12</v>
      </c>
      <c r="V16" s="107">
        <v>13</v>
      </c>
      <c r="W16" s="107">
        <v>14</v>
      </c>
      <c r="X16" s="110">
        <v>15</v>
      </c>
      <c r="Y16" s="106">
        <v>16</v>
      </c>
      <c r="Z16" s="107">
        <v>17</v>
      </c>
      <c r="AA16" s="107">
        <v>18</v>
      </c>
      <c r="AB16" s="107">
        <v>19</v>
      </c>
      <c r="AC16" s="108">
        <v>20</v>
      </c>
      <c r="AD16" s="109">
        <v>21</v>
      </c>
      <c r="AE16" s="107">
        <v>22</v>
      </c>
      <c r="AF16" s="107">
        <v>23</v>
      </c>
      <c r="AG16" s="107">
        <v>24</v>
      </c>
      <c r="AH16" s="110">
        <v>25</v>
      </c>
      <c r="AI16" s="538"/>
      <c r="AJ16" s="558"/>
      <c r="AK16" s="104"/>
      <c r="AL16" s="104"/>
      <c r="AM16" s="104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</row>
    <row r="17" spans="1:74" ht="39.950000000000003" customHeight="1" thickBot="1" x14ac:dyDescent="0.3">
      <c r="A17" s="542"/>
      <c r="B17" s="544" t="str">
        <f>IF(OR($Y$3="",$C17=""),"",VLOOKUP($Y$3&amp;$A17,Choice!$A$17:$K$217,11,FALSE))</f>
        <v/>
      </c>
      <c r="C17" s="547"/>
      <c r="D17" s="550" t="str">
        <f>IF(OR($Y$3="",$C17=""),"",VLOOKUP($Y$3&amp;$A17,Choice!$A$17:$K$217,11,FALSE))</f>
        <v/>
      </c>
      <c r="E17" s="111"/>
      <c r="F17" s="112"/>
      <c r="G17" s="112"/>
      <c r="H17" s="112"/>
      <c r="I17" s="113"/>
      <c r="J17" s="114"/>
      <c r="K17" s="112"/>
      <c r="L17" s="112"/>
      <c r="M17" s="112"/>
      <c r="N17" s="115"/>
      <c r="O17" s="556"/>
      <c r="P17" s="535"/>
      <c r="Q17" s="535"/>
      <c r="R17" s="535"/>
      <c r="S17" s="536"/>
      <c r="T17" s="114"/>
      <c r="U17" s="112"/>
      <c r="V17" s="112"/>
      <c r="W17" s="112"/>
      <c r="X17" s="115"/>
      <c r="Y17" s="111"/>
      <c r="Z17" s="112"/>
      <c r="AA17" s="112"/>
      <c r="AB17" s="112"/>
      <c r="AC17" s="113"/>
      <c r="AD17" s="114"/>
      <c r="AE17" s="112"/>
      <c r="AF17" s="112"/>
      <c r="AG17" s="112"/>
      <c r="AH17" s="115"/>
      <c r="AI17" s="562"/>
      <c r="AJ17" s="561"/>
      <c r="AK17" s="81"/>
      <c r="AL17" s="81"/>
      <c r="AM17" s="81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81"/>
      <c r="BG17" s="81"/>
      <c r="BH17" s="81"/>
      <c r="BI17" s="81"/>
      <c r="BJ17" s="81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</row>
    <row r="18" spans="1:74" s="17" customFormat="1" ht="18.600000000000001" customHeight="1" x14ac:dyDescent="0.25">
      <c r="A18" s="540">
        <v>5</v>
      </c>
      <c r="B18" s="527">
        <f>IF(OR($AB$3="",$C18=""),"",IFERROR(VLOOKUP($AB$3&amp;$A18,Choice!$A$17:$K$217,11,FALSE),""))</f>
        <v>48</v>
      </c>
      <c r="C18" s="545" t="str">
        <f>IF($AP$3="","",IF($AP$3=2,BB10,AX10))</f>
        <v>Vermaak Coen (Jnr)</v>
      </c>
      <c r="D18" s="530" t="str">
        <f>IF(OR($AB$3="",$C18=""),"",IFERROR(VLOOKUP($AB$3&amp;$A18,Choice!$A$17:$K$217,6,FALSE),""))</f>
        <v>J</v>
      </c>
      <c r="E18" s="526" t="s">
        <v>14</v>
      </c>
      <c r="F18" s="527"/>
      <c r="G18" s="527"/>
      <c r="H18" s="527"/>
      <c r="I18" s="528"/>
      <c r="J18" s="531" t="s">
        <v>29</v>
      </c>
      <c r="K18" s="531"/>
      <c r="L18" s="531"/>
      <c r="M18" s="531"/>
      <c r="N18" s="531"/>
      <c r="O18" s="526" t="s">
        <v>10</v>
      </c>
      <c r="P18" s="527"/>
      <c r="Q18" s="527"/>
      <c r="R18" s="527"/>
      <c r="S18" s="528"/>
      <c r="T18" s="529" t="s">
        <v>11</v>
      </c>
      <c r="U18" s="527"/>
      <c r="V18" s="527"/>
      <c r="W18" s="527"/>
      <c r="X18" s="530"/>
      <c r="Y18" s="526" t="s">
        <v>12</v>
      </c>
      <c r="Z18" s="527"/>
      <c r="AA18" s="527"/>
      <c r="AB18" s="527"/>
      <c r="AC18" s="528"/>
      <c r="AD18" s="529" t="s">
        <v>13</v>
      </c>
      <c r="AE18" s="527"/>
      <c r="AF18" s="527"/>
      <c r="AG18" s="527"/>
      <c r="AH18" s="528"/>
      <c r="AI18" s="563"/>
      <c r="AJ18" s="541"/>
      <c r="AK18" s="104"/>
      <c r="AL18" s="104"/>
      <c r="AM18" s="104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</row>
    <row r="19" spans="1:74" s="17" customFormat="1" ht="18" customHeight="1" thickBot="1" x14ac:dyDescent="0.3">
      <c r="A19" s="541"/>
      <c r="B19" s="543" t="str">
        <f>IF(OR($Y$3="",$C19=""),"",VLOOKUP($Y$3&amp;$A19,Choice!$A$17:$K$217,11,FALSE))</f>
        <v/>
      </c>
      <c r="C19" s="546"/>
      <c r="D19" s="549" t="str">
        <f>IF(OR($Y$3="",$C19=""),"",VLOOKUP($Y$3&amp;$A19,Choice!$A$17:$K$217,11,FALSE))</f>
        <v/>
      </c>
      <c r="E19" s="106">
        <v>1</v>
      </c>
      <c r="F19" s="107">
        <v>2</v>
      </c>
      <c r="G19" s="107">
        <v>3</v>
      </c>
      <c r="H19" s="107">
        <v>4</v>
      </c>
      <c r="I19" s="108">
        <v>5</v>
      </c>
      <c r="J19" s="533"/>
      <c r="K19" s="533"/>
      <c r="L19" s="533"/>
      <c r="M19" s="533"/>
      <c r="N19" s="533"/>
      <c r="O19" s="106">
        <v>6</v>
      </c>
      <c r="P19" s="107">
        <v>7</v>
      </c>
      <c r="Q19" s="107">
        <v>8</v>
      </c>
      <c r="R19" s="107">
        <v>9</v>
      </c>
      <c r="S19" s="108">
        <v>10</v>
      </c>
      <c r="T19" s="109">
        <v>11</v>
      </c>
      <c r="U19" s="107">
        <v>12</v>
      </c>
      <c r="V19" s="107">
        <v>13</v>
      </c>
      <c r="W19" s="107">
        <v>14</v>
      </c>
      <c r="X19" s="110">
        <v>15</v>
      </c>
      <c r="Y19" s="106">
        <v>16</v>
      </c>
      <c r="Z19" s="107">
        <v>17</v>
      </c>
      <c r="AA19" s="107">
        <v>18</v>
      </c>
      <c r="AB19" s="107">
        <v>19</v>
      </c>
      <c r="AC19" s="108">
        <v>20</v>
      </c>
      <c r="AD19" s="109">
        <v>21</v>
      </c>
      <c r="AE19" s="107">
        <v>22</v>
      </c>
      <c r="AF19" s="107">
        <v>23</v>
      </c>
      <c r="AG19" s="107">
        <v>24</v>
      </c>
      <c r="AH19" s="108">
        <v>25</v>
      </c>
      <c r="AI19" s="538"/>
      <c r="AJ19" s="558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</row>
    <row r="20" spans="1:74" ht="39.950000000000003" customHeight="1" thickBot="1" x14ac:dyDescent="0.3">
      <c r="A20" s="542"/>
      <c r="B20" s="544" t="str">
        <f>IF(OR($Y$3="",$C20=""),"",VLOOKUP($Y$3&amp;$A20,Choice!$A$17:$K$217,11,FALSE))</f>
        <v/>
      </c>
      <c r="C20" s="547"/>
      <c r="D20" s="550" t="str">
        <f>IF(OR($Y$3="",$C20=""),"",VLOOKUP($Y$3&amp;$A20,Choice!$A$17:$K$217,11,FALSE))</f>
        <v/>
      </c>
      <c r="E20" s="111"/>
      <c r="F20" s="112"/>
      <c r="G20" s="112"/>
      <c r="H20" s="112"/>
      <c r="I20" s="113"/>
      <c r="J20" s="535"/>
      <c r="K20" s="535"/>
      <c r="L20" s="535"/>
      <c r="M20" s="535"/>
      <c r="N20" s="535"/>
      <c r="O20" s="111"/>
      <c r="P20" s="112"/>
      <c r="Q20" s="112"/>
      <c r="R20" s="112"/>
      <c r="S20" s="113"/>
      <c r="T20" s="114"/>
      <c r="U20" s="112"/>
      <c r="V20" s="112"/>
      <c r="W20" s="112"/>
      <c r="X20" s="115"/>
      <c r="Y20" s="111"/>
      <c r="Z20" s="112"/>
      <c r="AA20" s="112"/>
      <c r="AB20" s="112"/>
      <c r="AC20" s="113"/>
      <c r="AD20" s="114"/>
      <c r="AE20" s="112"/>
      <c r="AF20" s="112"/>
      <c r="AG20" s="112"/>
      <c r="AH20" s="113"/>
      <c r="AI20" s="539"/>
      <c r="AJ20" s="559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</row>
    <row r="21" spans="1:74" s="17" customFormat="1" ht="18.600000000000001" customHeight="1" x14ac:dyDescent="0.25">
      <c r="A21" s="540">
        <v>6</v>
      </c>
      <c r="B21" s="527" t="str">
        <f>IF(OR($AB$3="",$C21=""),"",IFERROR(VLOOKUP($AB$3&amp;$A21,Choice!$A$17:$K$217,11,FALSE),""))</f>
        <v/>
      </c>
      <c r="C21" s="545" t="str">
        <f>IF($AP$3="","",IF($AP$3=2,BB11,AX11))</f>
        <v/>
      </c>
      <c r="D21" s="530" t="str">
        <f>IF(OR($AB$3="",$C21=""),"",IFERROR(VLOOKUP($AB$3&amp;$A21,Choice!$A$17:$K$217,6,FALSE),""))</f>
        <v/>
      </c>
      <c r="E21" s="554" t="s">
        <v>29</v>
      </c>
      <c r="F21" s="531"/>
      <c r="G21" s="531"/>
      <c r="H21" s="531"/>
      <c r="I21" s="532"/>
      <c r="J21" s="529" t="s">
        <v>10</v>
      </c>
      <c r="K21" s="527"/>
      <c r="L21" s="527"/>
      <c r="M21" s="527"/>
      <c r="N21" s="530"/>
      <c r="O21" s="526" t="s">
        <v>11</v>
      </c>
      <c r="P21" s="527"/>
      <c r="Q21" s="527"/>
      <c r="R21" s="527"/>
      <c r="S21" s="528"/>
      <c r="T21" s="529" t="s">
        <v>12</v>
      </c>
      <c r="U21" s="527"/>
      <c r="V21" s="527"/>
      <c r="W21" s="527"/>
      <c r="X21" s="530"/>
      <c r="Y21" s="526" t="s">
        <v>13</v>
      </c>
      <c r="Z21" s="527"/>
      <c r="AA21" s="527"/>
      <c r="AB21" s="527"/>
      <c r="AC21" s="528"/>
      <c r="AD21" s="529" t="s">
        <v>14</v>
      </c>
      <c r="AE21" s="527"/>
      <c r="AF21" s="527"/>
      <c r="AG21" s="527"/>
      <c r="AH21" s="528"/>
      <c r="AI21" s="537"/>
      <c r="AJ21" s="560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</row>
    <row r="22" spans="1:74" s="17" customFormat="1" ht="18" customHeight="1" thickBot="1" x14ac:dyDescent="0.3">
      <c r="A22" s="541"/>
      <c r="B22" s="543" t="str">
        <f>IF(OR($Y$3="",$C22=""),"",VLOOKUP($Y$3&amp;$A22,Choice!$A$17:$K$217,11,FALSE))</f>
        <v/>
      </c>
      <c r="C22" s="546"/>
      <c r="D22" s="549" t="str">
        <f>IF(OR($Y$3="",$C22=""),"",VLOOKUP($Y$3&amp;$A22,Choice!$A$17:$K$217,11,FALSE))</f>
        <v/>
      </c>
      <c r="E22" s="555"/>
      <c r="F22" s="533"/>
      <c r="G22" s="533"/>
      <c r="H22" s="533"/>
      <c r="I22" s="534"/>
      <c r="J22" s="109">
        <v>1</v>
      </c>
      <c r="K22" s="107">
        <v>2</v>
      </c>
      <c r="L22" s="107">
        <v>3</v>
      </c>
      <c r="M22" s="107">
        <v>4</v>
      </c>
      <c r="N22" s="110">
        <v>5</v>
      </c>
      <c r="O22" s="106">
        <v>6</v>
      </c>
      <c r="P22" s="107">
        <v>7</v>
      </c>
      <c r="Q22" s="107">
        <v>8</v>
      </c>
      <c r="R22" s="107">
        <v>9</v>
      </c>
      <c r="S22" s="108">
        <v>10</v>
      </c>
      <c r="T22" s="109">
        <v>11</v>
      </c>
      <c r="U22" s="107">
        <v>12</v>
      </c>
      <c r="V22" s="107">
        <v>13</v>
      </c>
      <c r="W22" s="107">
        <v>14</v>
      </c>
      <c r="X22" s="110">
        <v>15</v>
      </c>
      <c r="Y22" s="106">
        <v>16</v>
      </c>
      <c r="Z22" s="107">
        <v>17</v>
      </c>
      <c r="AA22" s="107">
        <v>18</v>
      </c>
      <c r="AB22" s="107">
        <v>19</v>
      </c>
      <c r="AC22" s="108">
        <v>20</v>
      </c>
      <c r="AD22" s="109">
        <v>21</v>
      </c>
      <c r="AE22" s="107">
        <v>22</v>
      </c>
      <c r="AF22" s="107">
        <v>23</v>
      </c>
      <c r="AG22" s="107">
        <v>24</v>
      </c>
      <c r="AH22" s="108">
        <v>25</v>
      </c>
      <c r="AI22" s="538"/>
      <c r="AJ22" s="558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</row>
    <row r="23" spans="1:74" ht="39.950000000000003" customHeight="1" thickBot="1" x14ac:dyDescent="0.3">
      <c r="A23" s="542"/>
      <c r="B23" s="544" t="str">
        <f>IF(OR($Y$3="",$C23=""),"",VLOOKUP($Y$3&amp;$A23,Choice!$A$17:$K$217,11,FALSE))</f>
        <v/>
      </c>
      <c r="C23" s="547"/>
      <c r="D23" s="550" t="str">
        <f>IF(OR($Y$3="",$C23=""),"",VLOOKUP($Y$3&amp;$A23,Choice!$A$17:$K$217,11,FALSE))</f>
        <v/>
      </c>
      <c r="E23" s="556"/>
      <c r="F23" s="535"/>
      <c r="G23" s="535"/>
      <c r="H23" s="535"/>
      <c r="I23" s="536"/>
      <c r="J23" s="114"/>
      <c r="K23" s="112"/>
      <c r="L23" s="112"/>
      <c r="M23" s="112"/>
      <c r="N23" s="115"/>
      <c r="O23" s="111"/>
      <c r="P23" s="112"/>
      <c r="Q23" s="112"/>
      <c r="R23" s="112"/>
      <c r="S23" s="113"/>
      <c r="T23" s="114"/>
      <c r="U23" s="112"/>
      <c r="V23" s="112"/>
      <c r="W23" s="112"/>
      <c r="X23" s="115"/>
      <c r="Y23" s="111"/>
      <c r="Z23" s="112"/>
      <c r="AA23" s="112"/>
      <c r="AB23" s="112"/>
      <c r="AC23" s="113"/>
      <c r="AD23" s="114"/>
      <c r="AE23" s="112"/>
      <c r="AF23" s="112"/>
      <c r="AG23" s="112"/>
      <c r="AH23" s="113"/>
      <c r="AI23" s="562"/>
      <c r="AJ23" s="56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</row>
    <row r="24" spans="1:74" ht="34.5" customHeight="1" thickBot="1" x14ac:dyDescent="0.35">
      <c r="A24" s="116"/>
      <c r="B24" s="116"/>
      <c r="C24" s="87"/>
      <c r="D24" s="87"/>
      <c r="E24" s="87"/>
      <c r="F24" s="87"/>
      <c r="G24" s="87"/>
      <c r="H24" s="87"/>
      <c r="I24" s="87"/>
      <c r="J24" s="117"/>
      <c r="K24" s="117"/>
      <c r="L24" s="117"/>
      <c r="M24" s="117"/>
      <c r="N24" s="117"/>
      <c r="O24" s="117"/>
      <c r="P24" s="118" t="s">
        <v>5</v>
      </c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87"/>
      <c r="AJ24" s="87"/>
      <c r="AK24" s="77"/>
      <c r="AL24" s="77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</row>
    <row r="25" spans="1:74" ht="26.25" customHeight="1" thickBot="1" x14ac:dyDescent="0.35">
      <c r="A25" s="116"/>
      <c r="B25" s="116"/>
      <c r="C25" s="119" t="s">
        <v>6</v>
      </c>
      <c r="D25" s="120"/>
      <c r="E25" s="121"/>
      <c r="F25" s="121"/>
      <c r="G25" s="121"/>
      <c r="H25" s="121"/>
      <c r="I25" s="121"/>
      <c r="J25" s="122"/>
      <c r="K25" s="122"/>
      <c r="L25" s="87"/>
      <c r="M25" s="87"/>
      <c r="N25" s="123" t="s">
        <v>7</v>
      </c>
      <c r="O25" s="124"/>
      <c r="P25" s="87"/>
      <c r="Q25" s="87"/>
      <c r="R25" s="123" t="s">
        <v>8</v>
      </c>
      <c r="S25" s="124"/>
      <c r="T25" s="123"/>
      <c r="U25" s="123"/>
      <c r="V25" s="123"/>
      <c r="W25" s="123"/>
      <c r="X25" s="87"/>
      <c r="Y25" s="87"/>
      <c r="Z25" s="87"/>
      <c r="AA25" s="87">
        <v>1</v>
      </c>
      <c r="AB25" s="87"/>
      <c r="AC25" s="87"/>
      <c r="AD25" s="87"/>
      <c r="AE25" s="125" t="s">
        <v>9</v>
      </c>
      <c r="AF25" s="121"/>
      <c r="AG25" s="121"/>
      <c r="AH25" s="121"/>
      <c r="AI25" s="122"/>
      <c r="AJ25" s="122"/>
      <c r="AK25" s="77"/>
      <c r="AL25" s="77"/>
      <c r="AM25" s="77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</row>
    <row r="26" spans="1:74" ht="19.5" customHeight="1" x14ac:dyDescent="0.25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77"/>
      <c r="AL26" s="77"/>
      <c r="AM26" s="77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</row>
    <row r="27" spans="1:74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77"/>
      <c r="AL27" s="77"/>
      <c r="AM27" s="77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</row>
    <row r="28" spans="1:74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</row>
    <row r="29" spans="1:74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</row>
    <row r="30" spans="1:74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</row>
    <row r="31" spans="1:74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</row>
    <row r="32" spans="1:74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</row>
    <row r="33" spans="1:74" x14ac:dyDescent="0.2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</row>
    <row r="34" spans="1:74" x14ac:dyDescent="0.25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</row>
    <row r="35" spans="1:74" x14ac:dyDescent="0.25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</row>
  </sheetData>
  <sheetProtection algorithmName="SHA-512" hashValue="aY/fEExIWhRTkBOjjUxFbWEqnAvGuE4ISRWpH1q9OSyYUr7RxNurDxMLBi7WOGExiOEDIjKC1RcKQqt0nhmZSg==" saltValue="vY/4gDZpdZO72V0KcSt0uQ==" spinCount="100000" sheet="1" objects="1" scenarios="1" selectLockedCells="1"/>
  <mergeCells count="74">
    <mergeCell ref="AJ18:AJ20"/>
    <mergeCell ref="C21:C23"/>
    <mergeCell ref="D21:D23"/>
    <mergeCell ref="E21:I23"/>
    <mergeCell ref="J21:N21"/>
    <mergeCell ref="O21:S21"/>
    <mergeCell ref="T21:X21"/>
    <mergeCell ref="Y21:AC21"/>
    <mergeCell ref="AD21:AH21"/>
    <mergeCell ref="AJ21:AJ23"/>
    <mergeCell ref="D18:D20"/>
    <mergeCell ref="E18:I18"/>
    <mergeCell ref="J18:N20"/>
    <mergeCell ref="O18:S18"/>
    <mergeCell ref="AI18:AI20"/>
    <mergeCell ref="AI21:AI23"/>
    <mergeCell ref="T12:X14"/>
    <mergeCell ref="Y12:AC12"/>
    <mergeCell ref="AD12:AH12"/>
    <mergeCell ref="AJ12:AJ14"/>
    <mergeCell ref="C15:C17"/>
    <mergeCell ref="D15:D17"/>
    <mergeCell ref="E15:I15"/>
    <mergeCell ref="J15:N15"/>
    <mergeCell ref="O15:S17"/>
    <mergeCell ref="T15:X15"/>
    <mergeCell ref="Y15:AC15"/>
    <mergeCell ref="AD15:AH15"/>
    <mergeCell ref="AJ15:AJ17"/>
    <mergeCell ref="AI12:AI14"/>
    <mergeCell ref="AI15:AI17"/>
    <mergeCell ref="J12:N12"/>
    <mergeCell ref="AJ6:AJ8"/>
    <mergeCell ref="C9:C11"/>
    <mergeCell ref="D9:D11"/>
    <mergeCell ref="E9:I9"/>
    <mergeCell ref="J9:N9"/>
    <mergeCell ref="O9:S9"/>
    <mergeCell ref="T9:X9"/>
    <mergeCell ref="Y9:AC11"/>
    <mergeCell ref="AD9:AH9"/>
    <mergeCell ref="AJ9:AJ11"/>
    <mergeCell ref="A21:A23"/>
    <mergeCell ref="A18:A20"/>
    <mergeCell ref="B21:B23"/>
    <mergeCell ref="B18:B20"/>
    <mergeCell ref="C18:C20"/>
    <mergeCell ref="A15:A17"/>
    <mergeCell ref="B15:B17"/>
    <mergeCell ref="T18:X18"/>
    <mergeCell ref="Y18:AC18"/>
    <mergeCell ref="AD18:AH18"/>
    <mergeCell ref="O12:S12"/>
    <mergeCell ref="AI6:AI8"/>
    <mergeCell ref="A9:A11"/>
    <mergeCell ref="B9:B11"/>
    <mergeCell ref="AI9:AI11"/>
    <mergeCell ref="C6:C8"/>
    <mergeCell ref="D6:D8"/>
    <mergeCell ref="E6:I6"/>
    <mergeCell ref="J6:N6"/>
    <mergeCell ref="A6:A8"/>
    <mergeCell ref="B6:B8"/>
    <mergeCell ref="A12:A14"/>
    <mergeCell ref="B12:B14"/>
    <mergeCell ref="C12:C14"/>
    <mergeCell ref="D12:D14"/>
    <mergeCell ref="E12:I12"/>
    <mergeCell ref="E3:G3"/>
    <mergeCell ref="E5:AH5"/>
    <mergeCell ref="O6:S6"/>
    <mergeCell ref="T6:X6"/>
    <mergeCell ref="Y6:AC6"/>
    <mergeCell ref="AD6:AH8"/>
  </mergeCells>
  <phoneticPr fontId="1" type="noConversion"/>
  <conditionalFormatting sqref="E6:AH23">
    <cfRule type="cellIs" dxfId="0" priority="1" operator="equal">
      <formula>"WAIT"</formula>
    </cfRule>
  </conditionalFormatting>
  <printOptions horizontalCentered="1" verticalCentered="1"/>
  <pageMargins left="0.43307086614173229" right="0.70866141732283472" top="0.35433070866141736" bottom="0.51181102362204722" header="0.43307086614173229" footer="0.35433070866141736"/>
  <pageSetup paperSize="9" scale="57" orientation="landscape" horizontalDpi="300" verticalDpi="300" r:id="rId1"/>
  <headerFooter alignWithMargins="0">
    <oddHeader>&amp;C&amp;"Arial,Bold"&amp;24Compak</oddHeader>
    <oddFooter>&amp;L&amp;"Times New Roman,Bold"&amp;9Copyright: All rights reserved&amp;C&amp;"Times New Roman,Bold"&amp;9Software by B. Black (Tel. 082 517 5710)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Drop Down 4">
              <controlPr defaultSize="0" print="0" autoLine="0" autoPict="0">
                <anchor moveWithCells="1">
                  <from>
                    <xdr:col>14</xdr:col>
                    <xdr:colOff>28575</xdr:colOff>
                    <xdr:row>0</xdr:row>
                    <xdr:rowOff>28575</xdr:rowOff>
                  </from>
                  <to>
                    <xdr:col>18</xdr:col>
                    <xdr:colOff>19050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70"/>
  <sheetViews>
    <sheetView showGridLines="0" showRowColHeaders="0" tabSelected="1" topLeftCell="A32" workbookViewId="0">
      <selection activeCell="G37" sqref="G37"/>
    </sheetView>
  </sheetViews>
  <sheetFormatPr defaultRowHeight="12.75" x14ac:dyDescent="0.2"/>
  <cols>
    <col min="1" max="1" width="3.140625" style="5" customWidth="1"/>
    <col min="2" max="2" width="6.28515625" customWidth="1"/>
  </cols>
  <sheetData>
    <row r="1" spans="1:4" x14ac:dyDescent="0.2">
      <c r="B1" s="25" t="s">
        <v>49</v>
      </c>
    </row>
    <row r="2" spans="1:4" ht="6" customHeight="1" x14ac:dyDescent="0.2"/>
    <row r="3" spans="1:4" ht="18" customHeight="1" x14ac:dyDescent="0.2">
      <c r="A3" s="26" t="s">
        <v>50</v>
      </c>
      <c r="B3" s="19" t="s">
        <v>51</v>
      </c>
    </row>
    <row r="4" spans="1:4" ht="18" customHeight="1" x14ac:dyDescent="0.2">
      <c r="A4" s="26" t="s">
        <v>50</v>
      </c>
      <c r="B4" s="19" t="s">
        <v>171</v>
      </c>
    </row>
    <row r="5" spans="1:4" ht="18" customHeight="1" x14ac:dyDescent="0.2">
      <c r="A5" s="26" t="s">
        <v>50</v>
      </c>
      <c r="B5" s="19" t="s">
        <v>170</v>
      </c>
    </row>
    <row r="6" spans="1:4" ht="18" customHeight="1" x14ac:dyDescent="0.2">
      <c r="B6" s="26" t="s">
        <v>50</v>
      </c>
      <c r="C6" s="19" t="s">
        <v>105</v>
      </c>
    </row>
    <row r="7" spans="1:4" ht="18" customHeight="1" x14ac:dyDescent="0.2">
      <c r="A7" s="58"/>
      <c r="B7" s="26" t="s">
        <v>50</v>
      </c>
      <c r="C7" s="19" t="s">
        <v>125</v>
      </c>
    </row>
    <row r="8" spans="1:4" ht="18" customHeight="1" x14ac:dyDescent="0.2">
      <c r="A8" s="58"/>
      <c r="B8" s="26" t="s">
        <v>50</v>
      </c>
      <c r="C8" s="19" t="s">
        <v>107</v>
      </c>
    </row>
    <row r="9" spans="1:4" ht="18" customHeight="1" x14ac:dyDescent="0.2">
      <c r="A9" s="26" t="s">
        <v>50</v>
      </c>
      <c r="B9" s="19" t="s">
        <v>106</v>
      </c>
    </row>
    <row r="10" spans="1:4" ht="18" customHeight="1" x14ac:dyDescent="0.2">
      <c r="A10" s="26" t="s">
        <v>50</v>
      </c>
      <c r="B10" s="19" t="s">
        <v>173</v>
      </c>
    </row>
    <row r="11" spans="1:4" ht="18" customHeight="1" x14ac:dyDescent="0.2">
      <c r="B11" s="25" t="s">
        <v>110</v>
      </c>
    </row>
    <row r="12" spans="1:4" ht="18" customHeight="1" x14ac:dyDescent="0.2">
      <c r="A12" s="26" t="s">
        <v>50</v>
      </c>
      <c r="B12" s="19" t="s">
        <v>108</v>
      </c>
    </row>
    <row r="13" spans="1:4" ht="18" customHeight="1" x14ac:dyDescent="0.2">
      <c r="A13" s="26"/>
      <c r="B13" s="26" t="s">
        <v>50</v>
      </c>
      <c r="C13" s="19" t="s">
        <v>109</v>
      </c>
    </row>
    <row r="14" spans="1:4" ht="18" customHeight="1" x14ac:dyDescent="0.2">
      <c r="A14" s="26"/>
      <c r="B14" s="26" t="s">
        <v>50</v>
      </c>
      <c r="C14" s="19" t="s">
        <v>111</v>
      </c>
    </row>
    <row r="15" spans="1:4" ht="18" customHeight="1" x14ac:dyDescent="0.2">
      <c r="C15" s="26" t="s">
        <v>50</v>
      </c>
      <c r="D15" s="19" t="s">
        <v>126</v>
      </c>
    </row>
    <row r="16" spans="1:4" ht="18" customHeight="1" x14ac:dyDescent="0.2">
      <c r="B16" s="19"/>
      <c r="C16" s="26" t="s">
        <v>50</v>
      </c>
      <c r="D16" s="19" t="s">
        <v>112</v>
      </c>
    </row>
    <row r="17" spans="1:13" ht="18" customHeight="1" x14ac:dyDescent="0.2">
      <c r="A17" s="58"/>
      <c r="B17" s="25" t="s">
        <v>121</v>
      </c>
      <c r="C17" s="26"/>
      <c r="D17" s="19"/>
    </row>
    <row r="18" spans="1:13" ht="18" customHeight="1" x14ac:dyDescent="0.2">
      <c r="A18" s="26" t="s">
        <v>50</v>
      </c>
      <c r="B18" s="19" t="s">
        <v>113</v>
      </c>
    </row>
    <row r="19" spans="1:13" ht="18" customHeight="1" x14ac:dyDescent="0.2">
      <c r="B19" s="26" t="s">
        <v>50</v>
      </c>
      <c r="C19" s="19" t="s">
        <v>172</v>
      </c>
    </row>
    <row r="20" spans="1:13" ht="18" customHeight="1" x14ac:dyDescent="0.2">
      <c r="B20" s="26" t="s">
        <v>50</v>
      </c>
      <c r="C20" s="19" t="s">
        <v>114</v>
      </c>
    </row>
    <row r="21" spans="1:13" ht="18" customHeight="1" x14ac:dyDescent="0.25">
      <c r="A21" s="26"/>
      <c r="B21" s="26" t="s">
        <v>50</v>
      </c>
      <c r="C21" s="19" t="s">
        <v>115</v>
      </c>
      <c r="E21" s="11"/>
      <c r="F21" s="11"/>
      <c r="K21" s="11"/>
      <c r="L21" s="11"/>
      <c r="M21" s="11"/>
    </row>
    <row r="22" spans="1:13" s="11" customFormat="1" ht="18" customHeight="1" x14ac:dyDescent="0.25">
      <c r="A22" s="5"/>
      <c r="B22"/>
      <c r="C22" s="26" t="s">
        <v>50</v>
      </c>
      <c r="D22" s="19" t="s">
        <v>127</v>
      </c>
      <c r="E22"/>
      <c r="F22"/>
      <c r="K22"/>
      <c r="L22"/>
      <c r="M22"/>
    </row>
    <row r="23" spans="1:13" ht="18" customHeight="1" x14ac:dyDescent="0.2">
      <c r="B23" s="26" t="s">
        <v>50</v>
      </c>
      <c r="C23" s="19" t="s">
        <v>116</v>
      </c>
    </row>
    <row r="24" spans="1:13" ht="18" customHeight="1" x14ac:dyDescent="0.2">
      <c r="C24" s="26" t="s">
        <v>50</v>
      </c>
      <c r="D24" s="19" t="s">
        <v>117</v>
      </c>
    </row>
    <row r="25" spans="1:13" ht="18" customHeight="1" x14ac:dyDescent="0.2">
      <c r="C25" s="26" t="s">
        <v>50</v>
      </c>
      <c r="D25" s="19" t="s">
        <v>128</v>
      </c>
    </row>
    <row r="26" spans="1:13" ht="21" customHeight="1" x14ac:dyDescent="0.2">
      <c r="C26" s="26" t="s">
        <v>50</v>
      </c>
      <c r="D26" s="19" t="s">
        <v>175</v>
      </c>
    </row>
    <row r="27" spans="1:13" ht="21" customHeight="1" x14ac:dyDescent="0.2">
      <c r="B27" s="25" t="s">
        <v>177</v>
      </c>
    </row>
    <row r="28" spans="1:13" ht="21" customHeight="1" x14ac:dyDescent="0.2">
      <c r="A28" s="26" t="s">
        <v>50</v>
      </c>
      <c r="B28" t="s">
        <v>178</v>
      </c>
    </row>
    <row r="29" spans="1:13" ht="21" customHeight="1" x14ac:dyDescent="0.2">
      <c r="B29" s="26" t="s">
        <v>50</v>
      </c>
      <c r="C29" s="564" t="s">
        <v>179</v>
      </c>
    </row>
    <row r="30" spans="1:13" ht="21" customHeight="1" x14ac:dyDescent="0.2">
      <c r="B30" s="26" t="s">
        <v>50</v>
      </c>
      <c r="C30" s="564" t="s">
        <v>180</v>
      </c>
    </row>
    <row r="31" spans="1:13" ht="21" customHeight="1" x14ac:dyDescent="0.2">
      <c r="B31" s="26" t="s">
        <v>50</v>
      </c>
      <c r="C31" t="s">
        <v>181</v>
      </c>
    </row>
    <row r="32" spans="1:13" ht="21" customHeight="1" x14ac:dyDescent="0.2">
      <c r="B32" s="26" t="s">
        <v>50</v>
      </c>
      <c r="C32" t="s">
        <v>182</v>
      </c>
    </row>
    <row r="33" spans="1:3" ht="21" customHeight="1" x14ac:dyDescent="0.2">
      <c r="B33" s="25" t="s">
        <v>118</v>
      </c>
    </row>
    <row r="34" spans="1:3" ht="21" customHeight="1" x14ac:dyDescent="0.2">
      <c r="A34" s="26" t="s">
        <v>50</v>
      </c>
      <c r="B34" s="19" t="s">
        <v>119</v>
      </c>
    </row>
    <row r="35" spans="1:3" ht="21" customHeight="1" x14ac:dyDescent="0.2">
      <c r="B35" s="26" t="s">
        <v>50</v>
      </c>
      <c r="C35" s="19" t="s">
        <v>183</v>
      </c>
    </row>
    <row r="36" spans="1:3" ht="21" customHeight="1" x14ac:dyDescent="0.2">
      <c r="B36" s="26" t="s">
        <v>50</v>
      </c>
      <c r="C36" s="19" t="s">
        <v>174</v>
      </c>
    </row>
    <row r="37" spans="1:3" ht="21" customHeight="1" x14ac:dyDescent="0.2">
      <c r="B37" s="26" t="s">
        <v>50</v>
      </c>
      <c r="C37" s="19" t="s">
        <v>120</v>
      </c>
    </row>
    <row r="38" spans="1:3" ht="21" customHeight="1" x14ac:dyDescent="0.2">
      <c r="B38" s="25" t="s">
        <v>122</v>
      </c>
    </row>
    <row r="39" spans="1:3" ht="21" customHeight="1" x14ac:dyDescent="0.2">
      <c r="A39" s="26" t="s">
        <v>50</v>
      </c>
      <c r="B39" s="19" t="s">
        <v>129</v>
      </c>
    </row>
    <row r="40" spans="1:3" ht="21" customHeight="1" x14ac:dyDescent="0.2">
      <c r="A40" s="26" t="s">
        <v>50</v>
      </c>
      <c r="B40" s="19" t="s">
        <v>123</v>
      </c>
    </row>
    <row r="41" spans="1:3" ht="21" customHeight="1" x14ac:dyDescent="0.2"/>
    <row r="42" spans="1:3" ht="21" customHeight="1" x14ac:dyDescent="0.2">
      <c r="A42" s="26" t="s">
        <v>50</v>
      </c>
      <c r="B42" s="10" t="s">
        <v>124</v>
      </c>
    </row>
    <row r="43" spans="1:3" ht="21" customHeight="1" x14ac:dyDescent="0.2"/>
    <row r="44" spans="1:3" ht="21" customHeight="1" x14ac:dyDescent="0.2"/>
    <row r="45" spans="1:3" ht="21" customHeight="1" x14ac:dyDescent="0.2"/>
    <row r="46" spans="1:3" ht="21" customHeight="1" x14ac:dyDescent="0.2"/>
    <row r="47" spans="1:3" ht="21" customHeight="1" x14ac:dyDescent="0.2"/>
    <row r="48" spans="1:3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</sheetData>
  <sheetProtection selectLockedCells="1"/>
  <phoneticPr fontId="0" type="noConversion"/>
  <pageMargins left="0.74803149606299213" right="0.74803149606299213" top="0.82" bottom="0.78" header="0.51181102362204722" footer="0.51181102362204722"/>
  <pageSetup paperSize="9" scale="73" fitToHeight="2" orientation="portrait" horizontalDpi="300" verticalDpi="300" r:id="rId1"/>
  <headerFooter alignWithMargins="0">
    <oddHeader>&amp;R&amp;20&amp;BValley Gun Club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27"/>
  <sheetViews>
    <sheetView showGridLines="0" showRowColHeaders="0" showZeros="0" zoomScale="85" zoomScaleNormal="85" workbookViewId="0">
      <selection activeCell="AE3" sqref="AE3"/>
    </sheetView>
  </sheetViews>
  <sheetFormatPr defaultColWidth="10.28515625" defaultRowHeight="15.75" x14ac:dyDescent="0.25"/>
  <cols>
    <col min="1" max="1" width="5.28515625" style="1" customWidth="1"/>
    <col min="2" max="2" width="7" style="1" customWidth="1"/>
    <col min="3" max="3" width="27.42578125" style="1" customWidth="1"/>
    <col min="4" max="26" width="5.28515625" style="1" customWidth="1"/>
    <col min="27" max="27" width="6.42578125" style="1" customWidth="1"/>
    <col min="28" max="29" width="5.28515625" style="1" customWidth="1"/>
    <col min="30" max="30" width="9.85546875" style="1" customWidth="1"/>
    <col min="31" max="31" width="8.140625" style="2" customWidth="1"/>
    <col min="32" max="37" width="10.28515625" customWidth="1"/>
    <col min="38" max="16384" width="10.28515625" style="1"/>
  </cols>
  <sheetData>
    <row r="1" spans="1:52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419" t="str">
        <f>IF(Choice!$AC$43=4,"Trap Handicap",IF(Choice!$AC$43=3,"Trap Doubles","ATA Trap"))</f>
        <v>ATA Trap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87"/>
      <c r="AG1" s="87"/>
      <c r="AH1" s="87"/>
      <c r="AI1" s="87"/>
      <c r="AJ1" s="87"/>
      <c r="AK1" s="87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</row>
    <row r="2" spans="1:52" ht="25.5" customHeight="1" x14ac:dyDescent="0.35">
      <c r="A2" s="239"/>
      <c r="B2" s="126"/>
      <c r="C2" s="126"/>
      <c r="D2" s="126"/>
      <c r="E2" s="126"/>
      <c r="F2" s="126"/>
      <c r="G2" s="126"/>
      <c r="H2" s="12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7"/>
      <c r="AF2" s="301"/>
      <c r="AG2" s="301"/>
      <c r="AH2" s="301"/>
      <c r="AI2" s="301"/>
      <c r="AJ2" s="301"/>
      <c r="AK2" s="301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</row>
    <row r="3" spans="1:52" ht="19.5" thickBot="1" x14ac:dyDescent="0.35">
      <c r="A3" s="128"/>
      <c r="B3" s="126"/>
      <c r="C3" s="130" t="s">
        <v>21</v>
      </c>
      <c r="D3" s="499">
        <f>IF(Choice!$H$4="","",Choice!$H$4)</f>
        <v>43743</v>
      </c>
      <c r="E3" s="500"/>
      <c r="F3" s="500"/>
      <c r="G3" s="131"/>
      <c r="H3" s="131"/>
      <c r="I3" s="87"/>
      <c r="J3" s="87"/>
      <c r="K3" s="87"/>
      <c r="L3" s="87"/>
      <c r="M3" s="131"/>
      <c r="N3" s="131"/>
      <c r="O3" s="131"/>
      <c r="P3" s="131"/>
      <c r="Q3" s="131"/>
      <c r="R3" s="131"/>
      <c r="S3" s="131"/>
      <c r="T3" s="131"/>
      <c r="U3" s="126"/>
      <c r="V3" s="126"/>
      <c r="W3" s="126"/>
      <c r="X3" s="130" t="s">
        <v>1</v>
      </c>
      <c r="Y3" s="3">
        <v>1</v>
      </c>
      <c r="Z3" s="126"/>
      <c r="AA3" s="130" t="s">
        <v>2</v>
      </c>
      <c r="AB3" s="44"/>
      <c r="AC3" s="131"/>
      <c r="AD3" s="130" t="s">
        <v>44</v>
      </c>
      <c r="AE3" s="44"/>
      <c r="AF3" s="301"/>
      <c r="AG3" s="301"/>
      <c r="AH3" s="301"/>
      <c r="AI3" s="301"/>
      <c r="AJ3" s="301"/>
      <c r="AK3" s="301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</row>
    <row r="4" spans="1:52" ht="19.5" thickBot="1" x14ac:dyDescent="0.35">
      <c r="A4" s="128"/>
      <c r="B4" s="130"/>
      <c r="C4" s="130"/>
      <c r="D4" s="137"/>
      <c r="E4" s="138"/>
      <c r="F4" s="138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9"/>
      <c r="V4" s="131"/>
      <c r="W4" s="140"/>
      <c r="X4" s="131"/>
      <c r="Y4" s="139"/>
      <c r="Z4" s="131"/>
      <c r="AA4" s="219"/>
      <c r="AB4" s="141"/>
      <c r="AC4" s="131"/>
      <c r="AD4" s="131"/>
      <c r="AE4" s="491"/>
      <c r="AF4" s="301"/>
      <c r="AG4" s="301"/>
      <c r="AH4" s="301"/>
      <c r="AI4" s="301"/>
      <c r="AJ4" s="301"/>
      <c r="AK4" s="301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</row>
    <row r="5" spans="1:52" ht="16.5" thickBot="1" x14ac:dyDescent="0.3">
      <c r="A5" s="267" t="s">
        <v>36</v>
      </c>
      <c r="B5" s="436" t="s">
        <v>37</v>
      </c>
      <c r="C5" s="437" t="s">
        <v>3</v>
      </c>
      <c r="D5" s="480" t="s">
        <v>38</v>
      </c>
      <c r="E5" s="439">
        <v>1</v>
      </c>
      <c r="F5" s="440">
        <v>2</v>
      </c>
      <c r="G5" s="440">
        <v>3</v>
      </c>
      <c r="H5" s="440">
        <v>4</v>
      </c>
      <c r="I5" s="441">
        <v>5</v>
      </c>
      <c r="J5" s="446">
        <v>6</v>
      </c>
      <c r="K5" s="449">
        <v>7</v>
      </c>
      <c r="L5" s="449">
        <v>8</v>
      </c>
      <c r="M5" s="449">
        <v>9</v>
      </c>
      <c r="N5" s="447">
        <v>10</v>
      </c>
      <c r="O5" s="439">
        <v>11</v>
      </c>
      <c r="P5" s="440">
        <v>12</v>
      </c>
      <c r="Q5" s="440">
        <v>13</v>
      </c>
      <c r="R5" s="440">
        <v>14</v>
      </c>
      <c r="S5" s="441">
        <v>15</v>
      </c>
      <c r="T5" s="446">
        <v>16</v>
      </c>
      <c r="U5" s="449">
        <v>17</v>
      </c>
      <c r="V5" s="449">
        <v>18</v>
      </c>
      <c r="W5" s="449">
        <v>19</v>
      </c>
      <c r="X5" s="447">
        <v>20</v>
      </c>
      <c r="Y5" s="439">
        <v>21</v>
      </c>
      <c r="Z5" s="440">
        <v>22</v>
      </c>
      <c r="AA5" s="440">
        <v>23</v>
      </c>
      <c r="AB5" s="440">
        <v>24</v>
      </c>
      <c r="AC5" s="441">
        <v>25</v>
      </c>
      <c r="AD5" s="481" t="s">
        <v>4</v>
      </c>
      <c r="AE5" s="453" t="s">
        <v>26</v>
      </c>
      <c r="AF5" s="301"/>
      <c r="AG5" s="301"/>
      <c r="AH5" s="301"/>
      <c r="AI5" s="301"/>
      <c r="AJ5" s="301"/>
      <c r="AK5" s="301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</row>
    <row r="6" spans="1:52" ht="39.950000000000003" customHeight="1" x14ac:dyDescent="0.3">
      <c r="A6" s="454">
        <v>1</v>
      </c>
      <c r="B6" s="483">
        <f>IF(OR($Y$3="",$C6=""),"",IFERROR(VLOOKUP($Y$3&amp;$A6,Choice!$A$17:$K$217,11,FALSE),""))</f>
        <v>57</v>
      </c>
      <c r="C6" s="484" t="str">
        <f>IF($Y$3="","",IFERROR(VLOOKUP($Y$3&amp;$A6,Choice!$A$17:$K$217,5,FALSE),""))</f>
        <v>Bornman Cornel</v>
      </c>
      <c r="D6" s="483" t="str">
        <f>IF(OR($Y$3="",$C6=""),"",IFERROR(VLOOKUP($Y$3&amp;$A6,Choice!$A$17:$K$217,6,FALSE),""))</f>
        <v>S</v>
      </c>
      <c r="E6" s="464"/>
      <c r="F6" s="459"/>
      <c r="G6" s="459"/>
      <c r="H6" s="459"/>
      <c r="I6" s="460"/>
      <c r="J6" s="464"/>
      <c r="K6" s="459"/>
      <c r="L6" s="459"/>
      <c r="M6" s="459"/>
      <c r="N6" s="465"/>
      <c r="O6" s="458"/>
      <c r="P6" s="459"/>
      <c r="Q6" s="459"/>
      <c r="R6" s="459"/>
      <c r="S6" s="460"/>
      <c r="T6" s="464"/>
      <c r="U6" s="459"/>
      <c r="V6" s="459"/>
      <c r="W6" s="459"/>
      <c r="X6" s="465"/>
      <c r="Y6" s="458"/>
      <c r="Z6" s="459"/>
      <c r="AA6" s="459"/>
      <c r="AB6" s="459"/>
      <c r="AC6" s="460"/>
      <c r="AD6" s="467"/>
      <c r="AE6" s="468"/>
      <c r="AF6" s="301"/>
      <c r="AG6" s="301"/>
      <c r="AH6" s="301"/>
      <c r="AI6" s="301"/>
      <c r="AJ6" s="301"/>
      <c r="AK6" s="301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</row>
    <row r="7" spans="1:52" ht="39.950000000000003" customHeight="1" x14ac:dyDescent="0.3">
      <c r="A7" s="469">
        <v>2</v>
      </c>
      <c r="B7" s="483">
        <f>IF(OR($Y$3="",$C7=""),"",IFERROR(VLOOKUP($Y$3&amp;$A7,Choice!$A$17:$K$217,11,FALSE),""))</f>
        <v>71</v>
      </c>
      <c r="C7" s="486" t="str">
        <f>IF($Y$3="","",IFERROR(VLOOKUP($Y$3&amp;$A7,Choice!$A$17:$K$217,5,FALSE),""))</f>
        <v>Malherbe Gideon</v>
      </c>
      <c r="D7" s="487" t="str">
        <f>IF(OR($Y$3="",$C7=""),"",IFERROR(VLOOKUP($Y$3&amp;$A7,Choice!$A$17:$K$217,6,FALSE),""))</f>
        <v>S</v>
      </c>
      <c r="E7" s="473"/>
      <c r="F7" s="342"/>
      <c r="G7" s="342"/>
      <c r="H7" s="342"/>
      <c r="I7" s="346"/>
      <c r="J7" s="473"/>
      <c r="K7" s="342"/>
      <c r="L7" s="342"/>
      <c r="M7" s="342"/>
      <c r="N7" s="343"/>
      <c r="O7" s="341"/>
      <c r="P7" s="342"/>
      <c r="Q7" s="342"/>
      <c r="R7" s="342"/>
      <c r="S7" s="346"/>
      <c r="T7" s="473"/>
      <c r="U7" s="342"/>
      <c r="V7" s="342"/>
      <c r="W7" s="342"/>
      <c r="X7" s="343"/>
      <c r="Y7" s="341"/>
      <c r="Z7" s="342"/>
      <c r="AA7" s="342"/>
      <c r="AB7" s="342"/>
      <c r="AC7" s="346"/>
      <c r="AD7" s="347"/>
      <c r="AE7" s="348"/>
      <c r="AF7" s="301"/>
      <c r="AG7" s="301"/>
      <c r="AH7" s="301"/>
      <c r="AI7" s="301"/>
      <c r="AJ7" s="301"/>
      <c r="AK7" s="301"/>
      <c r="AL7" s="263"/>
      <c r="AM7" s="263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</row>
    <row r="8" spans="1:52" ht="39.950000000000003" customHeight="1" x14ac:dyDescent="0.3">
      <c r="A8" s="469">
        <v>3</v>
      </c>
      <c r="B8" s="483">
        <f>IF(OR($Y$3="",$C8=""),"",IFERROR(VLOOKUP($Y$3&amp;$A8,Choice!$A$17:$K$217,11,FALSE),""))</f>
        <v>87</v>
      </c>
      <c r="C8" s="486" t="str">
        <f>IF($Y$3="","",IFERROR(VLOOKUP($Y$3&amp;$A8,Choice!$A$17:$K$217,5,FALSE),""))</f>
        <v>Malherbe Fanie</v>
      </c>
      <c r="D8" s="487" t="str">
        <f>IF(OR($Y$3="",$C8=""),"",IFERROR(VLOOKUP($Y$3&amp;$A8,Choice!$A$17:$K$217,6,FALSE),""))</f>
        <v>S</v>
      </c>
      <c r="E8" s="473"/>
      <c r="F8" s="342"/>
      <c r="G8" s="342"/>
      <c r="H8" s="342"/>
      <c r="I8" s="346"/>
      <c r="J8" s="473"/>
      <c r="K8" s="342"/>
      <c r="L8" s="342"/>
      <c r="M8" s="342"/>
      <c r="N8" s="343"/>
      <c r="O8" s="341"/>
      <c r="P8" s="342"/>
      <c r="Q8" s="342"/>
      <c r="R8" s="342"/>
      <c r="S8" s="346"/>
      <c r="T8" s="473"/>
      <c r="U8" s="342"/>
      <c r="V8" s="342"/>
      <c r="W8" s="342"/>
      <c r="X8" s="343"/>
      <c r="Y8" s="341"/>
      <c r="Z8" s="342"/>
      <c r="AA8" s="342"/>
      <c r="AB8" s="342"/>
      <c r="AC8" s="346"/>
      <c r="AD8" s="347"/>
      <c r="AE8" s="348"/>
      <c r="AF8" s="301"/>
      <c r="AG8" s="301"/>
      <c r="AH8" s="301"/>
      <c r="AI8" s="301"/>
      <c r="AJ8" s="301"/>
      <c r="AK8" s="301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</row>
    <row r="9" spans="1:52" ht="39.950000000000003" customHeight="1" x14ac:dyDescent="0.3">
      <c r="A9" s="469">
        <v>4</v>
      </c>
      <c r="B9" s="483">
        <f>IF(OR($Y$3="",$C9=""),"",IFERROR(VLOOKUP($Y$3&amp;$A9,Choice!$A$17:$K$217,11,FALSE),""))</f>
        <v>16</v>
      </c>
      <c r="C9" s="486" t="str">
        <f>IF($Y$3="","",IFERROR(VLOOKUP($Y$3&amp;$A9,Choice!$A$17:$K$217,5,FALSE),""))</f>
        <v>Patience Bruce</v>
      </c>
      <c r="D9" s="487" t="str">
        <f>IF(OR($Y$3="",$C9=""),"",IFERROR(VLOOKUP($Y$3&amp;$A9,Choice!$A$17:$K$217,6,FALSE),""))</f>
        <v>S</v>
      </c>
      <c r="E9" s="473"/>
      <c r="F9" s="342"/>
      <c r="G9" s="342"/>
      <c r="H9" s="342"/>
      <c r="I9" s="346"/>
      <c r="J9" s="473"/>
      <c r="K9" s="342"/>
      <c r="L9" s="342"/>
      <c r="M9" s="342"/>
      <c r="N9" s="343"/>
      <c r="O9" s="341"/>
      <c r="P9" s="342"/>
      <c r="Q9" s="342"/>
      <c r="R9" s="342"/>
      <c r="S9" s="346"/>
      <c r="T9" s="473"/>
      <c r="U9" s="342"/>
      <c r="V9" s="342"/>
      <c r="W9" s="342"/>
      <c r="X9" s="343"/>
      <c r="Y9" s="341"/>
      <c r="Z9" s="342"/>
      <c r="AA9" s="342"/>
      <c r="AB9" s="342"/>
      <c r="AC9" s="346"/>
      <c r="AD9" s="347"/>
      <c r="AE9" s="348"/>
      <c r="AF9" s="301"/>
      <c r="AG9" s="301"/>
      <c r="AH9" s="301"/>
      <c r="AI9" s="301"/>
      <c r="AJ9" s="301"/>
      <c r="AK9" s="301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3"/>
      <c r="AY9" s="23"/>
      <c r="AZ9" s="23"/>
    </row>
    <row r="10" spans="1:52" ht="39.950000000000003" customHeight="1" thickBot="1" x14ac:dyDescent="0.35">
      <c r="A10" s="488">
        <v>5</v>
      </c>
      <c r="B10" s="476">
        <f>IF(OR($Y$3="",$C10=""),"",IFERROR(VLOOKUP($Y$3&amp;$A10,Choice!$A$17:$K$217,11,FALSE),""))</f>
        <v>2</v>
      </c>
      <c r="C10" s="475" t="str">
        <f>IF($Y$3="","",IFERROR(VLOOKUP($Y$3&amp;$A10,Choice!$A$17:$K$217,5,FALSE),""))</f>
        <v>Pienaar Schalk</v>
      </c>
      <c r="D10" s="489" t="str">
        <f>IF(OR($Y$3="",$C10=""),"",IFERROR(VLOOKUP($Y$3&amp;$A10,Choice!$A$17:$K$217,6,FALSE),""))</f>
        <v>S</v>
      </c>
      <c r="E10" s="477"/>
      <c r="F10" s="354"/>
      <c r="G10" s="354"/>
      <c r="H10" s="354"/>
      <c r="I10" s="358"/>
      <c r="J10" s="477"/>
      <c r="K10" s="354"/>
      <c r="L10" s="354"/>
      <c r="M10" s="354"/>
      <c r="N10" s="355"/>
      <c r="O10" s="353"/>
      <c r="P10" s="354"/>
      <c r="Q10" s="354"/>
      <c r="R10" s="354"/>
      <c r="S10" s="358"/>
      <c r="T10" s="477"/>
      <c r="U10" s="354"/>
      <c r="V10" s="354"/>
      <c r="W10" s="354"/>
      <c r="X10" s="355"/>
      <c r="Y10" s="353"/>
      <c r="Z10" s="354"/>
      <c r="AA10" s="354"/>
      <c r="AB10" s="354"/>
      <c r="AC10" s="358"/>
      <c r="AD10" s="359"/>
      <c r="AE10" s="336"/>
      <c r="AF10" s="301"/>
      <c r="AG10" s="301"/>
      <c r="AH10" s="301"/>
      <c r="AI10" s="301"/>
      <c r="AJ10" s="301"/>
      <c r="AK10" s="301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3"/>
      <c r="AY10" s="23"/>
      <c r="AZ10" s="23"/>
    </row>
    <row r="11" spans="1:52" ht="13.9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301"/>
      <c r="AG11" s="301"/>
      <c r="AH11" s="301"/>
      <c r="AI11" s="301"/>
      <c r="AJ11" s="301"/>
      <c r="AK11" s="301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3"/>
      <c r="AY11" s="23"/>
      <c r="AZ11" s="23"/>
    </row>
    <row r="12" spans="1:52" ht="24" customHeight="1" thickBot="1" x14ac:dyDescent="0.35">
      <c r="A12" s="116"/>
      <c r="B12" s="116"/>
      <c r="C12" s="87"/>
      <c r="D12" s="87"/>
      <c r="E12" s="87"/>
      <c r="F12" s="87"/>
      <c r="G12" s="87"/>
      <c r="H12" s="87"/>
      <c r="I12" s="87"/>
      <c r="J12" s="117"/>
      <c r="K12" s="117"/>
      <c r="L12" s="117"/>
      <c r="M12" s="117"/>
      <c r="N12" s="117"/>
      <c r="O12" s="117"/>
      <c r="P12" s="117" t="s">
        <v>5</v>
      </c>
      <c r="Q12" s="117"/>
      <c r="R12" s="117"/>
      <c r="S12" s="117"/>
      <c r="T12" s="117"/>
      <c r="U12" s="117"/>
      <c r="V12" s="117"/>
      <c r="W12" s="117"/>
      <c r="X12" s="117"/>
      <c r="Y12" s="87"/>
      <c r="Z12" s="87"/>
      <c r="AA12" s="87"/>
      <c r="AB12" s="87"/>
      <c r="AC12" s="87"/>
      <c r="AD12" s="87"/>
      <c r="AE12" s="87"/>
      <c r="AF12" s="301"/>
      <c r="AG12" s="301"/>
      <c r="AH12" s="301"/>
      <c r="AI12" s="301"/>
      <c r="AJ12" s="301"/>
      <c r="AK12" s="301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3"/>
      <c r="AY12" s="23"/>
      <c r="AZ12" s="23"/>
    </row>
    <row r="13" spans="1:52" ht="24" customHeight="1" thickBot="1" x14ac:dyDescent="0.35">
      <c r="A13" s="116"/>
      <c r="B13" s="116"/>
      <c r="C13" s="125" t="s">
        <v>6</v>
      </c>
      <c r="D13" s="125"/>
      <c r="E13" s="121"/>
      <c r="F13" s="121"/>
      <c r="G13" s="121"/>
      <c r="H13" s="121"/>
      <c r="I13" s="121"/>
      <c r="J13" s="87"/>
      <c r="K13" s="87"/>
      <c r="L13" s="87"/>
      <c r="M13" s="87"/>
      <c r="N13" s="479" t="s">
        <v>7</v>
      </c>
      <c r="O13" s="124"/>
      <c r="P13" s="87"/>
      <c r="Q13" s="87"/>
      <c r="R13" s="479" t="s">
        <v>8</v>
      </c>
      <c r="S13" s="124"/>
      <c r="T13" s="87"/>
      <c r="U13" s="87"/>
      <c r="V13" s="87"/>
      <c r="W13" s="87"/>
      <c r="X13" s="87"/>
      <c r="Y13" s="87"/>
      <c r="Z13" s="125" t="s">
        <v>9</v>
      </c>
      <c r="AA13" s="121"/>
      <c r="AB13" s="121"/>
      <c r="AC13" s="121"/>
      <c r="AD13" s="122"/>
      <c r="AE13" s="87"/>
      <c r="AF13" s="301"/>
      <c r="AG13" s="301"/>
      <c r="AH13" s="301"/>
      <c r="AI13" s="301"/>
      <c r="AJ13" s="301"/>
      <c r="AK13" s="301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3"/>
      <c r="AY13" s="23"/>
      <c r="AZ13" s="23"/>
    </row>
    <row r="14" spans="1:52" ht="18.75" x14ac:dyDescent="0.3">
      <c r="A14" s="116"/>
      <c r="B14" s="116"/>
      <c r="C14" s="125"/>
      <c r="D14" s="125"/>
      <c r="E14" s="117"/>
      <c r="F14" s="117"/>
      <c r="G14" s="117"/>
      <c r="H14" s="117"/>
      <c r="I14" s="11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312"/>
      <c r="Z14" s="312"/>
      <c r="AA14" s="117"/>
      <c r="AB14" s="117"/>
      <c r="AC14" s="117"/>
      <c r="AD14" s="87"/>
      <c r="AE14" s="87"/>
      <c r="AF14" s="301"/>
      <c r="AG14" s="301"/>
      <c r="AH14" s="301"/>
      <c r="AI14" s="301"/>
      <c r="AJ14" s="301"/>
      <c r="AK14" s="301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3"/>
      <c r="AY14" s="23"/>
      <c r="AZ14" s="23"/>
    </row>
    <row r="15" spans="1:52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</row>
    <row r="16" spans="1:52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ht="39.950000000000003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ht="39.95000000000000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16.149999999999999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</row>
    <row r="26" spans="1:31" ht="24" customHeight="1" x14ac:dyDescent="0.25"/>
    <row r="27" spans="1:31" ht="24" customHeight="1" x14ac:dyDescent="0.25"/>
  </sheetData>
  <sheetProtection algorithmName="SHA-512" hashValue="HGQI6Ckfzvosyhrz5JwnQvJXbk6tuP5tqGGDZjk75iVVE+RgWCA9Gg0VO3NLGIjill7b7foyb9B787llZF/bEw==" saltValue="ko2Co+etxHoU/vPuPT0lVg==" spinCount="100000" sheet="1" objects="1" scenarios="1" selectLockedCells="1"/>
  <mergeCells count="1">
    <mergeCell ref="D3:F3"/>
  </mergeCells>
  <phoneticPr fontId="1" type="noConversion"/>
  <conditionalFormatting sqref="C6:C10">
    <cfRule type="expression" dxfId="7" priority="1">
      <formula>D6="C"</formula>
    </cfRule>
  </conditionalFormatting>
  <printOptions horizontalCentered="1" verticalCentered="1"/>
  <pageMargins left="0.37" right="0.69" top="0.6" bottom="0.69" header="0.51181102362204722" footer="0.51181102362204722"/>
  <pageSetup paperSize="9" scale="75" orientation="landscape" horizontalDpi="300" verticalDpi="300" r:id="rId1"/>
  <headerFooter alignWithMargins="0">
    <oddFooter>&amp;LCopyright: All rights reserved&amp;CB F Black (082 517 5710)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G28"/>
  <sheetViews>
    <sheetView showGridLines="0" showRowColHeaders="0" showZeros="0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7" style="1" customWidth="1"/>
    <col min="3" max="3" width="27.42578125" style="1" customWidth="1"/>
    <col min="4" max="26" width="5.28515625" style="1" customWidth="1"/>
    <col min="27" max="27" width="6.42578125" style="1" customWidth="1"/>
    <col min="28" max="29" width="5.28515625" style="1" customWidth="1"/>
    <col min="30" max="31" width="9.85546875" style="1" customWidth="1"/>
    <col min="32" max="32" width="6.5703125" style="1" customWidth="1"/>
    <col min="33" max="33" width="10.28515625" style="2" customWidth="1"/>
    <col min="34" max="38" width="10.28515625" customWidth="1"/>
    <col min="40" max="16384" width="10.28515625" style="1"/>
  </cols>
  <sheetData>
    <row r="1" spans="1:59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419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7" t="str">
        <f>ClubName</f>
        <v>Valley Gun Club</v>
      </c>
      <c r="AG1" s="128"/>
      <c r="AH1" s="87"/>
      <c r="AI1" s="87"/>
      <c r="AJ1" s="87"/>
      <c r="AK1" s="87"/>
      <c r="AL1" s="87"/>
      <c r="AM1" s="87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</row>
    <row r="2" spans="1:59" ht="25.5" customHeight="1" x14ac:dyDescent="0.35">
      <c r="A2" s="239"/>
      <c r="B2" s="126"/>
      <c r="C2" s="126"/>
      <c r="D2" s="126"/>
      <c r="E2" s="126"/>
      <c r="F2" s="126"/>
      <c r="G2" s="126"/>
      <c r="H2" s="12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7"/>
      <c r="AG2" s="87"/>
      <c r="AH2" s="87"/>
      <c r="AI2" s="87"/>
      <c r="AJ2" s="87"/>
      <c r="AK2" s="87"/>
      <c r="AL2" s="87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</row>
    <row r="3" spans="1:59" ht="19.5" thickBot="1" x14ac:dyDescent="0.35">
      <c r="A3" s="128"/>
      <c r="B3" s="126"/>
      <c r="C3" s="130" t="s">
        <v>21</v>
      </c>
      <c r="D3" s="499">
        <f>IF(Choice!$H$4="","",Choice!$H$4)</f>
        <v>43743</v>
      </c>
      <c r="E3" s="500"/>
      <c r="F3" s="500"/>
      <c r="G3" s="131"/>
      <c r="H3" s="131"/>
      <c r="I3" s="87"/>
      <c r="J3" s="87"/>
      <c r="K3" s="87"/>
      <c r="L3" s="87"/>
      <c r="M3" s="131"/>
      <c r="N3" s="131"/>
      <c r="O3" s="131"/>
      <c r="P3" s="131"/>
      <c r="Q3" s="131"/>
      <c r="R3" s="131"/>
      <c r="S3" s="131"/>
      <c r="T3" s="131"/>
      <c r="U3" s="126"/>
      <c r="V3" s="126"/>
      <c r="W3" s="126"/>
      <c r="X3" s="130" t="s">
        <v>1</v>
      </c>
      <c r="Y3" s="3">
        <v>1</v>
      </c>
      <c r="Z3" s="126"/>
      <c r="AA3" s="130" t="s">
        <v>2</v>
      </c>
      <c r="AB3" s="44"/>
      <c r="AC3" s="131"/>
      <c r="AD3" s="130" t="s">
        <v>44</v>
      </c>
      <c r="AE3" s="44" t="str">
        <f>IF(AQ4="","",AQ4)</f>
        <v/>
      </c>
      <c r="AF3" s="215"/>
      <c r="AG3" s="87"/>
      <c r="AH3" s="87"/>
      <c r="AI3" s="87"/>
      <c r="AJ3" s="87"/>
      <c r="AK3" s="87"/>
      <c r="AL3" s="87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</row>
    <row r="4" spans="1:59" ht="19.5" thickBot="1" x14ac:dyDescent="0.35">
      <c r="A4" s="128"/>
      <c r="B4" s="130"/>
      <c r="C4" s="130"/>
      <c r="D4" s="137"/>
      <c r="E4" s="138"/>
      <c r="F4" s="138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9"/>
      <c r="V4" s="131"/>
      <c r="W4" s="140"/>
      <c r="X4" s="131"/>
      <c r="Y4" s="139"/>
      <c r="Z4" s="131"/>
      <c r="AA4" s="219"/>
      <c r="AB4" s="141"/>
      <c r="AC4" s="131"/>
      <c r="AD4" s="131"/>
      <c r="AE4" s="131"/>
      <c r="AF4" s="136"/>
      <c r="AG4" s="87"/>
      <c r="AH4" s="87"/>
      <c r="AI4" s="87"/>
      <c r="AJ4" s="87"/>
      <c r="AK4" s="87"/>
      <c r="AL4" s="87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</row>
    <row r="5" spans="1:59" ht="16.5" thickBot="1" x14ac:dyDescent="0.3">
      <c r="A5" s="267" t="s">
        <v>36</v>
      </c>
      <c r="B5" s="436" t="s">
        <v>37</v>
      </c>
      <c r="C5" s="437" t="s">
        <v>3</v>
      </c>
      <c r="D5" s="480" t="s">
        <v>38</v>
      </c>
      <c r="E5" s="439">
        <v>1</v>
      </c>
      <c r="F5" s="440">
        <v>2</v>
      </c>
      <c r="G5" s="440">
        <v>3</v>
      </c>
      <c r="H5" s="440">
        <v>4</v>
      </c>
      <c r="I5" s="441">
        <v>5</v>
      </c>
      <c r="J5" s="446">
        <v>6</v>
      </c>
      <c r="K5" s="449">
        <v>7</v>
      </c>
      <c r="L5" s="449">
        <v>8</v>
      </c>
      <c r="M5" s="449">
        <v>9</v>
      </c>
      <c r="N5" s="447">
        <v>10</v>
      </c>
      <c r="O5" s="439">
        <v>11</v>
      </c>
      <c r="P5" s="440">
        <v>12</v>
      </c>
      <c r="Q5" s="440">
        <v>13</v>
      </c>
      <c r="R5" s="440">
        <v>14</v>
      </c>
      <c r="S5" s="441">
        <v>15</v>
      </c>
      <c r="T5" s="446">
        <v>16</v>
      </c>
      <c r="U5" s="449">
        <v>17</v>
      </c>
      <c r="V5" s="449">
        <v>18</v>
      </c>
      <c r="W5" s="449">
        <v>19</v>
      </c>
      <c r="X5" s="447">
        <v>20</v>
      </c>
      <c r="Y5" s="439">
        <v>21</v>
      </c>
      <c r="Z5" s="440">
        <v>22</v>
      </c>
      <c r="AA5" s="440">
        <v>23</v>
      </c>
      <c r="AB5" s="440">
        <v>24</v>
      </c>
      <c r="AC5" s="441">
        <v>25</v>
      </c>
      <c r="AD5" s="481" t="s">
        <v>4</v>
      </c>
      <c r="AE5" s="482" t="s">
        <v>100</v>
      </c>
      <c r="AF5" s="482" t="s">
        <v>26</v>
      </c>
      <c r="AG5" s="87"/>
      <c r="AH5" s="87"/>
      <c r="AI5" s="87"/>
      <c r="AJ5" s="87"/>
      <c r="AK5" s="87"/>
      <c r="AL5" s="87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</row>
    <row r="6" spans="1:59" ht="39.950000000000003" customHeight="1" x14ac:dyDescent="0.3">
      <c r="A6" s="454">
        <v>1</v>
      </c>
      <c r="B6" s="483">
        <f>IF(OR($Y$3="",$C6=""),"",IFERROR(VLOOKUP($Y$3&amp;$A6,Choice!$A$17:$K$217,11,FALSE),""))</f>
        <v>57</v>
      </c>
      <c r="C6" s="484" t="str">
        <f>IF($Y$3="","",IFERROR(VLOOKUP($Y$3&amp;$A6,Choice!$A$17:$K$217,5,FALSE),""))</f>
        <v>Bornman Cornel</v>
      </c>
      <c r="D6" s="483" t="str">
        <f>IF(OR($Y$3="",$C6=""),"",IFERROR(VLOOKUP($Y$3&amp;$A6,Choice!$A$17:$K$217,6,FALSE),""))</f>
        <v>S</v>
      </c>
      <c r="E6" s="464"/>
      <c r="F6" s="459"/>
      <c r="G6" s="459"/>
      <c r="H6" s="459"/>
      <c r="I6" s="460"/>
      <c r="J6" s="464"/>
      <c r="K6" s="459"/>
      <c r="L6" s="459"/>
      <c r="M6" s="459"/>
      <c r="N6" s="465"/>
      <c r="O6" s="458"/>
      <c r="P6" s="459"/>
      <c r="Q6" s="459"/>
      <c r="R6" s="459"/>
      <c r="S6" s="460"/>
      <c r="T6" s="464"/>
      <c r="U6" s="459"/>
      <c r="V6" s="459"/>
      <c r="W6" s="459"/>
      <c r="X6" s="465"/>
      <c r="Y6" s="458"/>
      <c r="Z6" s="459"/>
      <c r="AA6" s="459"/>
      <c r="AB6" s="459"/>
      <c r="AC6" s="460"/>
      <c r="AD6" s="467"/>
      <c r="AE6" s="485"/>
      <c r="AF6" s="468"/>
      <c r="AG6" s="87"/>
      <c r="AH6" s="87"/>
      <c r="AI6" s="87"/>
      <c r="AJ6" s="87"/>
      <c r="AK6" s="87"/>
      <c r="AL6" s="87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</row>
    <row r="7" spans="1:59" ht="39.950000000000003" customHeight="1" x14ac:dyDescent="0.3">
      <c r="A7" s="469">
        <v>2</v>
      </c>
      <c r="B7" s="483">
        <f>IF(OR($Y$3="",$C7=""),"",IFERROR(VLOOKUP($Y$3&amp;$A7,Choice!$A$17:$K$217,11,FALSE),""))</f>
        <v>71</v>
      </c>
      <c r="C7" s="486" t="str">
        <f>IF($Y$3="","",IFERROR(VLOOKUP($Y$3&amp;$A7,Choice!$A$17:$K$217,5,FALSE),""))</f>
        <v>Malherbe Gideon</v>
      </c>
      <c r="D7" s="487" t="str">
        <f>IF(OR($Y$3="",$C7=""),"",IFERROR(VLOOKUP($Y$3&amp;$A7,Choice!$A$17:$K$217,6,FALSE),""))</f>
        <v>S</v>
      </c>
      <c r="E7" s="473"/>
      <c r="F7" s="342"/>
      <c r="G7" s="342"/>
      <c r="H7" s="342"/>
      <c r="I7" s="346"/>
      <c r="J7" s="473"/>
      <c r="K7" s="342"/>
      <c r="L7" s="342"/>
      <c r="M7" s="342"/>
      <c r="N7" s="343"/>
      <c r="O7" s="341"/>
      <c r="P7" s="342"/>
      <c r="Q7" s="342"/>
      <c r="R7" s="342"/>
      <c r="S7" s="346"/>
      <c r="T7" s="473"/>
      <c r="U7" s="342"/>
      <c r="V7" s="342"/>
      <c r="W7" s="342"/>
      <c r="X7" s="343"/>
      <c r="Y7" s="341"/>
      <c r="Z7" s="342"/>
      <c r="AA7" s="342"/>
      <c r="AB7" s="342"/>
      <c r="AC7" s="346"/>
      <c r="AD7" s="347"/>
      <c r="AE7" s="345"/>
      <c r="AF7" s="348"/>
      <c r="AG7" s="87"/>
      <c r="AH7" s="87"/>
      <c r="AI7" s="87"/>
      <c r="AJ7" s="87"/>
      <c r="AK7" s="87"/>
      <c r="AL7" s="87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</row>
    <row r="8" spans="1:59" ht="39.950000000000003" customHeight="1" x14ac:dyDescent="0.3">
      <c r="A8" s="469">
        <v>3</v>
      </c>
      <c r="B8" s="483">
        <f>IF(OR($Y$3="",$C8=""),"",IFERROR(VLOOKUP($Y$3&amp;$A8,Choice!$A$17:$K$217,11,FALSE),""))</f>
        <v>87</v>
      </c>
      <c r="C8" s="486" t="str">
        <f>IF($Y$3="","",IFERROR(VLOOKUP($Y$3&amp;$A8,Choice!$A$17:$K$217,5,FALSE),""))</f>
        <v>Malherbe Fanie</v>
      </c>
      <c r="D8" s="487" t="str">
        <f>IF(OR($Y$3="",$C8=""),"",IFERROR(VLOOKUP($Y$3&amp;$A8,Choice!$A$17:$K$217,6,FALSE),""))</f>
        <v>S</v>
      </c>
      <c r="E8" s="473"/>
      <c r="F8" s="342"/>
      <c r="G8" s="342"/>
      <c r="H8" s="342"/>
      <c r="I8" s="346"/>
      <c r="J8" s="473"/>
      <c r="K8" s="342"/>
      <c r="L8" s="342"/>
      <c r="M8" s="342"/>
      <c r="N8" s="343"/>
      <c r="O8" s="341"/>
      <c r="P8" s="342"/>
      <c r="Q8" s="342"/>
      <c r="R8" s="342"/>
      <c r="S8" s="346"/>
      <c r="T8" s="473"/>
      <c r="U8" s="342"/>
      <c r="V8" s="342"/>
      <c r="W8" s="342"/>
      <c r="X8" s="343"/>
      <c r="Y8" s="341"/>
      <c r="Z8" s="342"/>
      <c r="AA8" s="342"/>
      <c r="AB8" s="342"/>
      <c r="AC8" s="346"/>
      <c r="AD8" s="347"/>
      <c r="AE8" s="345"/>
      <c r="AF8" s="348"/>
      <c r="AG8" s="87"/>
      <c r="AH8" s="87"/>
      <c r="AI8" s="87"/>
      <c r="AJ8" s="87"/>
      <c r="AK8" s="87"/>
      <c r="AL8" s="87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</row>
    <row r="9" spans="1:59" ht="39.950000000000003" customHeight="1" x14ac:dyDescent="0.3">
      <c r="A9" s="469">
        <v>4</v>
      </c>
      <c r="B9" s="483">
        <f>IF(OR($Y$3="",$C9=""),"",IFERROR(VLOOKUP($Y$3&amp;$A9,Choice!$A$17:$K$217,11,FALSE),""))</f>
        <v>16</v>
      </c>
      <c r="C9" s="486" t="str">
        <f>IF($Y$3="","",IFERROR(VLOOKUP($Y$3&amp;$A9,Choice!$A$17:$K$217,5,FALSE),""))</f>
        <v>Patience Bruce</v>
      </c>
      <c r="D9" s="487" t="str">
        <f>IF(OR($Y$3="",$C9=""),"",IFERROR(VLOOKUP($Y$3&amp;$A9,Choice!$A$17:$K$217,6,FALSE),""))</f>
        <v>S</v>
      </c>
      <c r="E9" s="473"/>
      <c r="F9" s="342"/>
      <c r="G9" s="342"/>
      <c r="H9" s="342"/>
      <c r="I9" s="346"/>
      <c r="J9" s="473"/>
      <c r="K9" s="342"/>
      <c r="L9" s="342"/>
      <c r="M9" s="342"/>
      <c r="N9" s="343"/>
      <c r="O9" s="341"/>
      <c r="P9" s="342"/>
      <c r="Q9" s="342"/>
      <c r="R9" s="342"/>
      <c r="S9" s="346"/>
      <c r="T9" s="473"/>
      <c r="U9" s="342"/>
      <c r="V9" s="342"/>
      <c r="W9" s="342"/>
      <c r="X9" s="343"/>
      <c r="Y9" s="341"/>
      <c r="Z9" s="342"/>
      <c r="AA9" s="342"/>
      <c r="AB9" s="342"/>
      <c r="AC9" s="346"/>
      <c r="AD9" s="347"/>
      <c r="AE9" s="345"/>
      <c r="AF9" s="348"/>
      <c r="AG9" s="87"/>
      <c r="AH9" s="87"/>
      <c r="AI9" s="87"/>
      <c r="AJ9" s="87"/>
      <c r="AK9" s="87"/>
      <c r="AL9" s="87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</row>
    <row r="10" spans="1:59" ht="39.950000000000003" customHeight="1" thickBot="1" x14ac:dyDescent="0.35">
      <c r="A10" s="488">
        <v>5</v>
      </c>
      <c r="B10" s="476">
        <f>IF(OR($Y$3="",$C10=""),"",IFERROR(VLOOKUP($Y$3&amp;$A10,Choice!$A$17:$K$217,11,FALSE),""))</f>
        <v>2</v>
      </c>
      <c r="C10" s="475" t="str">
        <f>IF($Y$3="","",IFERROR(VLOOKUP($Y$3&amp;$A10,Choice!$A$17:$K$217,5,FALSE),""))</f>
        <v>Pienaar Schalk</v>
      </c>
      <c r="D10" s="489" t="str">
        <f>IF(OR($Y$3="",$C10=""),"",IFERROR(VLOOKUP($Y$3&amp;$A10,Choice!$A$17:$K$217,6,FALSE),""))</f>
        <v>S</v>
      </c>
      <c r="E10" s="477"/>
      <c r="F10" s="354"/>
      <c r="G10" s="354"/>
      <c r="H10" s="354"/>
      <c r="I10" s="358"/>
      <c r="J10" s="477"/>
      <c r="K10" s="354"/>
      <c r="L10" s="354"/>
      <c r="M10" s="354"/>
      <c r="N10" s="355"/>
      <c r="O10" s="353"/>
      <c r="P10" s="354"/>
      <c r="Q10" s="354"/>
      <c r="R10" s="354"/>
      <c r="S10" s="358"/>
      <c r="T10" s="477"/>
      <c r="U10" s="354"/>
      <c r="V10" s="354"/>
      <c r="W10" s="354"/>
      <c r="X10" s="355"/>
      <c r="Y10" s="353"/>
      <c r="Z10" s="354"/>
      <c r="AA10" s="354"/>
      <c r="AB10" s="354"/>
      <c r="AC10" s="358"/>
      <c r="AD10" s="359"/>
      <c r="AE10" s="490"/>
      <c r="AF10" s="490"/>
      <c r="AG10" s="87"/>
      <c r="AH10" s="87"/>
      <c r="AI10" s="87"/>
      <c r="AJ10" s="87"/>
      <c r="AK10" s="87"/>
      <c r="AL10" s="87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</row>
    <row r="11" spans="1:59" ht="13.9" customHeight="1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</row>
    <row r="12" spans="1:59" ht="24" customHeight="1" thickBot="1" x14ac:dyDescent="0.35">
      <c r="A12" s="116"/>
      <c r="B12" s="116"/>
      <c r="C12" s="87"/>
      <c r="D12" s="87"/>
      <c r="E12" s="87"/>
      <c r="F12" s="87"/>
      <c r="G12" s="87"/>
      <c r="H12" s="87"/>
      <c r="I12" s="87"/>
      <c r="J12" s="117"/>
      <c r="K12" s="117"/>
      <c r="L12" s="117"/>
      <c r="M12" s="117"/>
      <c r="N12" s="117"/>
      <c r="O12" s="117"/>
      <c r="P12" s="117" t="s">
        <v>5</v>
      </c>
      <c r="Q12" s="117"/>
      <c r="R12" s="117"/>
      <c r="S12" s="117"/>
      <c r="T12" s="117"/>
      <c r="U12" s="117"/>
      <c r="V12" s="117"/>
      <c r="W12" s="117"/>
      <c r="X12" s="11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</row>
    <row r="13" spans="1:59" ht="24" customHeight="1" thickBot="1" x14ac:dyDescent="0.35">
      <c r="A13" s="116"/>
      <c r="B13" s="116"/>
      <c r="C13" s="125" t="s">
        <v>6</v>
      </c>
      <c r="D13" s="125"/>
      <c r="E13" s="121"/>
      <c r="F13" s="121"/>
      <c r="G13" s="121"/>
      <c r="H13" s="121"/>
      <c r="I13" s="121"/>
      <c r="J13" s="87"/>
      <c r="K13" s="87"/>
      <c r="L13" s="87"/>
      <c r="M13" s="87"/>
      <c r="N13" s="479" t="s">
        <v>7</v>
      </c>
      <c r="O13" s="124"/>
      <c r="P13" s="87"/>
      <c r="Q13" s="87"/>
      <c r="R13" s="479" t="s">
        <v>8</v>
      </c>
      <c r="S13" s="124"/>
      <c r="T13" s="87"/>
      <c r="U13" s="87"/>
      <c r="V13" s="87"/>
      <c r="W13" s="87"/>
      <c r="X13" s="87"/>
      <c r="Y13" s="87"/>
      <c r="Z13" s="125" t="s">
        <v>9</v>
      </c>
      <c r="AA13" s="121"/>
      <c r="AB13" s="121"/>
      <c r="AC13" s="121"/>
      <c r="AD13" s="122"/>
      <c r="AE13" s="363"/>
      <c r="AF13" s="87"/>
      <c r="AG13" s="87"/>
      <c r="AH13" s="87"/>
      <c r="AI13" s="87"/>
      <c r="AJ13" s="87"/>
      <c r="AK13" s="87"/>
      <c r="AL13" s="87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</row>
    <row r="14" spans="1:59" ht="18.75" x14ac:dyDescent="0.3">
      <c r="A14" s="5"/>
      <c r="B14" s="5"/>
      <c r="C14" s="6"/>
      <c r="D14" s="6"/>
      <c r="E14" s="7"/>
      <c r="F14" s="7"/>
      <c r="G14" s="7"/>
      <c r="H14" s="7"/>
      <c r="I14" s="7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 s="8"/>
      <c r="Z14" s="8"/>
      <c r="AA14" s="7"/>
      <c r="AB14" s="7"/>
      <c r="AC14" s="7"/>
      <c r="AD14"/>
      <c r="AE14"/>
      <c r="AF14"/>
      <c r="AG14"/>
      <c r="AM14" s="1"/>
    </row>
    <row r="15" spans="1:59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N15"/>
      <c r="AO15"/>
    </row>
    <row r="16" spans="1:59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N16"/>
      <c r="AO16"/>
    </row>
    <row r="17" spans="1:4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N17"/>
      <c r="AO17"/>
    </row>
    <row r="18" spans="1:41" ht="39.950000000000003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N18"/>
      <c r="AO18"/>
    </row>
    <row r="19" spans="1:41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N19"/>
      <c r="AO19"/>
    </row>
    <row r="20" spans="1:41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N20"/>
      <c r="AO20"/>
    </row>
    <row r="21" spans="1:41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N21"/>
      <c r="AO21"/>
    </row>
    <row r="22" spans="1:41" ht="39.950000000000003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N22"/>
      <c r="AO22"/>
    </row>
    <row r="23" spans="1:41" ht="16.149999999999999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N23"/>
      <c r="AO23"/>
    </row>
    <row r="24" spans="1:41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N24"/>
      <c r="AO24"/>
    </row>
    <row r="25" spans="1:41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N25"/>
      <c r="AO25"/>
    </row>
    <row r="26" spans="1:41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N26"/>
      <c r="AO26"/>
    </row>
    <row r="27" spans="1:41" ht="24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N27"/>
      <c r="AO27"/>
    </row>
    <row r="28" spans="1:4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N28"/>
      <c r="AO28"/>
    </row>
  </sheetData>
  <sheetProtection algorithmName="SHA-512" hashValue="nQNC+rQPzuU2ercI4mVhmrzrf6jhKXCbILXhHrdqJcqwU41TBCmsFOV9xNK1T0Ks8I92EYgmTeyVxfibyHYkkw==" saltValue="LDzkZEEZs78Al0n0hWUUpw==" spinCount="100000" sheet="1" objects="1" scenarios="1" selectLockedCells="1"/>
  <mergeCells count="1">
    <mergeCell ref="D3:F3"/>
  </mergeCells>
  <phoneticPr fontId="1" type="noConversion"/>
  <conditionalFormatting sqref="C6:C10">
    <cfRule type="expression" dxfId="6" priority="1">
      <formula>D6="C"</formula>
    </cfRule>
  </conditionalFormatting>
  <printOptions horizontalCentered="1" verticalCentered="1"/>
  <pageMargins left="0.37" right="0.69" top="0.6" bottom="0.69" header="0.51181102362204722" footer="0.51181102362204722"/>
  <pageSetup paperSize="9" scale="67" orientation="landscape" horizontalDpi="300" verticalDpi="300" r:id="rId1"/>
  <headerFooter alignWithMargins="0">
    <oddHeader>&amp;C&amp;"Arial,Bold"&amp;24DTL</oddHeader>
    <oddFooter>&amp;LCopyright: All rights reserved&amp;CB F Black (082 517 5710)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E31"/>
  <sheetViews>
    <sheetView showGridLines="0" showRowColHeaders="0" showZeros="0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6.42578125" style="1" customWidth="1"/>
    <col min="3" max="3" width="28.140625" style="1" customWidth="1"/>
    <col min="4" max="4" width="6" style="1" customWidth="1"/>
    <col min="5" max="26" width="5.28515625" style="1" customWidth="1"/>
    <col min="27" max="27" width="6.42578125" style="1" customWidth="1"/>
    <col min="28" max="29" width="5.28515625" style="1" customWidth="1"/>
    <col min="30" max="30" width="9.85546875" style="1" customWidth="1"/>
    <col min="31" max="31" width="7" style="2" customWidth="1"/>
    <col min="32" max="16384" width="10.28515625" style="1"/>
  </cols>
  <sheetData>
    <row r="1" spans="1:57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419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</row>
    <row r="2" spans="1:57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</row>
    <row r="3" spans="1:57" ht="19.5" thickBot="1" x14ac:dyDescent="0.35">
      <c r="A3" s="420"/>
      <c r="B3" s="420"/>
      <c r="C3" s="126"/>
      <c r="D3" s="125" t="s">
        <v>21</v>
      </c>
      <c r="E3" s="499">
        <f>IF(Choice!H4="","",Choice!H4)</f>
        <v>43743</v>
      </c>
      <c r="F3" s="500"/>
      <c r="G3" s="500"/>
      <c r="H3" s="117"/>
      <c r="I3" s="117"/>
      <c r="J3" s="87"/>
      <c r="K3" s="87"/>
      <c r="L3" s="87"/>
      <c r="M3" s="87"/>
      <c r="N3" s="87"/>
      <c r="O3" s="117"/>
      <c r="P3" s="262">
        <v>1</v>
      </c>
      <c r="Q3" s="117"/>
      <c r="R3" s="117"/>
      <c r="S3" s="117"/>
      <c r="T3" s="117"/>
      <c r="U3" s="117"/>
      <c r="V3" s="87"/>
      <c r="W3" s="126"/>
      <c r="X3" s="125" t="s">
        <v>33</v>
      </c>
      <c r="Y3" s="73">
        <v>1</v>
      </c>
      <c r="Z3" s="126"/>
      <c r="AA3" s="125" t="s">
        <v>34</v>
      </c>
      <c r="AB3" s="48"/>
      <c r="AC3" s="126"/>
      <c r="AD3" s="125" t="s">
        <v>35</v>
      </c>
      <c r="AE3" s="24" t="str">
        <f>IF(AP4="","",AP4)</f>
        <v/>
      </c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</row>
    <row r="4" spans="1:57" ht="19.5" thickBot="1" x14ac:dyDescent="0.35">
      <c r="A4" s="116"/>
      <c r="B4" s="116"/>
      <c r="C4" s="125"/>
      <c r="D4" s="125"/>
      <c r="E4" s="421"/>
      <c r="F4" s="116"/>
      <c r="G4" s="116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312"/>
      <c r="W4" s="117"/>
      <c r="X4" s="422"/>
      <c r="Y4" s="117"/>
      <c r="Z4" s="312"/>
      <c r="AA4" s="117"/>
      <c r="AB4" s="423"/>
      <c r="AC4" s="117"/>
      <c r="AD4" s="117"/>
      <c r="AE4" s="87"/>
      <c r="AF4" s="126"/>
      <c r="AG4" s="126"/>
      <c r="AH4" s="126"/>
      <c r="AI4" s="126"/>
      <c r="AJ4" s="126"/>
      <c r="AK4" s="126"/>
      <c r="AL4" s="126"/>
      <c r="AM4" s="126"/>
      <c r="AN4" s="126"/>
      <c r="AO4" s="126" t="s">
        <v>44</v>
      </c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</row>
    <row r="5" spans="1:57" ht="16.5" thickBot="1" x14ac:dyDescent="0.3">
      <c r="A5" s="116"/>
      <c r="B5" s="116"/>
      <c r="C5" s="87"/>
      <c r="D5" s="87"/>
      <c r="E5" s="501" t="s">
        <v>10</v>
      </c>
      <c r="F5" s="502"/>
      <c r="G5" s="502"/>
      <c r="H5" s="503"/>
      <c r="I5" s="501" t="s">
        <v>11</v>
      </c>
      <c r="J5" s="502"/>
      <c r="K5" s="502"/>
      <c r="L5" s="503"/>
      <c r="M5" s="504" t="s">
        <v>12</v>
      </c>
      <c r="N5" s="505"/>
      <c r="O5" s="504" t="s">
        <v>13</v>
      </c>
      <c r="P5" s="505"/>
      <c r="Q5" s="506" t="s">
        <v>14</v>
      </c>
      <c r="R5" s="506"/>
      <c r="S5" s="501" t="s">
        <v>15</v>
      </c>
      <c r="T5" s="502"/>
      <c r="U5" s="502"/>
      <c r="V5" s="503"/>
      <c r="W5" s="501" t="s">
        <v>16</v>
      </c>
      <c r="X5" s="502"/>
      <c r="Y5" s="502"/>
      <c r="Z5" s="503"/>
      <c r="AA5" s="504" t="s">
        <v>17</v>
      </c>
      <c r="AB5" s="505"/>
      <c r="AC5" s="87"/>
      <c r="AD5" s="87"/>
      <c r="AE5" s="87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</row>
    <row r="6" spans="1:57" ht="16.5" thickBot="1" x14ac:dyDescent="0.3">
      <c r="A6" s="116"/>
      <c r="B6" s="116"/>
      <c r="C6" s="87"/>
      <c r="D6" s="424"/>
      <c r="E6" s="425" t="s">
        <v>18</v>
      </c>
      <c r="F6" s="426" t="s">
        <v>19</v>
      </c>
      <c r="G6" s="427" t="s">
        <v>31</v>
      </c>
      <c r="H6" s="428" t="s">
        <v>32</v>
      </c>
      <c r="I6" s="429" t="s">
        <v>18</v>
      </c>
      <c r="J6" s="430" t="s">
        <v>19</v>
      </c>
      <c r="K6" s="431" t="s">
        <v>31</v>
      </c>
      <c r="L6" s="432" t="s">
        <v>32</v>
      </c>
      <c r="M6" s="425" t="s">
        <v>18</v>
      </c>
      <c r="N6" s="102" t="s">
        <v>19</v>
      </c>
      <c r="O6" s="425" t="s">
        <v>18</v>
      </c>
      <c r="P6" s="102" t="s">
        <v>19</v>
      </c>
      <c r="Q6" s="433" t="s">
        <v>18</v>
      </c>
      <c r="R6" s="434" t="s">
        <v>19</v>
      </c>
      <c r="S6" s="429" t="s">
        <v>18</v>
      </c>
      <c r="T6" s="430" t="s">
        <v>19</v>
      </c>
      <c r="U6" s="431" t="s">
        <v>32</v>
      </c>
      <c r="V6" s="435" t="s">
        <v>31</v>
      </c>
      <c r="W6" s="429" t="s">
        <v>18</v>
      </c>
      <c r="X6" s="430" t="s">
        <v>19</v>
      </c>
      <c r="Y6" s="431" t="s">
        <v>32</v>
      </c>
      <c r="Z6" s="432" t="s">
        <v>31</v>
      </c>
      <c r="AA6" s="317" t="s">
        <v>18</v>
      </c>
      <c r="AB6" s="317" t="s">
        <v>19</v>
      </c>
      <c r="AC6" s="317" t="s">
        <v>20</v>
      </c>
      <c r="AD6" s="87"/>
      <c r="AE6" s="87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</row>
    <row r="7" spans="1:57" ht="30" customHeight="1" thickBot="1" x14ac:dyDescent="0.3">
      <c r="A7" s="267" t="s">
        <v>36</v>
      </c>
      <c r="B7" s="436" t="s">
        <v>37</v>
      </c>
      <c r="C7" s="437" t="s">
        <v>3</v>
      </c>
      <c r="D7" s="438" t="s">
        <v>38</v>
      </c>
      <c r="E7" s="439">
        <v>1</v>
      </c>
      <c r="F7" s="440">
        <v>2</v>
      </c>
      <c r="G7" s="440">
        <v>3</v>
      </c>
      <c r="H7" s="441">
        <v>4</v>
      </c>
      <c r="I7" s="439">
        <v>5</v>
      </c>
      <c r="J7" s="440">
        <v>6</v>
      </c>
      <c r="K7" s="440">
        <v>7</v>
      </c>
      <c r="L7" s="441">
        <v>8</v>
      </c>
      <c r="M7" s="442">
        <v>9</v>
      </c>
      <c r="N7" s="443">
        <v>10</v>
      </c>
      <c r="O7" s="444">
        <v>11</v>
      </c>
      <c r="P7" s="445">
        <v>12</v>
      </c>
      <c r="Q7" s="446">
        <v>13</v>
      </c>
      <c r="R7" s="447">
        <v>14</v>
      </c>
      <c r="S7" s="448">
        <v>15</v>
      </c>
      <c r="T7" s="444">
        <v>16</v>
      </c>
      <c r="U7" s="449">
        <v>17</v>
      </c>
      <c r="V7" s="445">
        <v>18</v>
      </c>
      <c r="W7" s="444">
        <v>19</v>
      </c>
      <c r="X7" s="447">
        <v>20</v>
      </c>
      <c r="Y7" s="444">
        <v>21</v>
      </c>
      <c r="Z7" s="447">
        <v>22</v>
      </c>
      <c r="AA7" s="450">
        <v>23</v>
      </c>
      <c r="AB7" s="450">
        <v>24</v>
      </c>
      <c r="AC7" s="451">
        <v>25</v>
      </c>
      <c r="AD7" s="452" t="s">
        <v>4</v>
      </c>
      <c r="AE7" s="453" t="s">
        <v>26</v>
      </c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</row>
    <row r="8" spans="1:57" ht="30" customHeight="1" x14ac:dyDescent="0.3">
      <c r="A8" s="454">
        <v>1</v>
      </c>
      <c r="B8" s="455">
        <f>IF(OR($Y$3="",$C8=""),"",IFERROR(VLOOKUP($Y$3&amp;$A8,Choice!$A$17:$K$217,11,FALSE),""))</f>
        <v>57</v>
      </c>
      <c r="C8" s="456" t="str">
        <f>IF($Y$3="","",IFERROR(VLOOKUP($Y$3&amp;$A8,Choice!$A$17:$K$217,5,FALSE),""))</f>
        <v>Bornman Cornel</v>
      </c>
      <c r="D8" s="457" t="str">
        <f>IF(OR($Y$3="",$C8=""),"",IFERROR(VLOOKUP($Y$3&amp;$A8,Choice!$A$17:$K$217,6,FALSE),""))</f>
        <v>S</v>
      </c>
      <c r="E8" s="458"/>
      <c r="F8" s="459"/>
      <c r="G8" s="459"/>
      <c r="H8" s="460"/>
      <c r="I8" s="461"/>
      <c r="J8" s="462"/>
      <c r="K8" s="462"/>
      <c r="L8" s="463"/>
      <c r="M8" s="458"/>
      <c r="N8" s="460"/>
      <c r="O8" s="458"/>
      <c r="P8" s="460"/>
      <c r="Q8" s="464"/>
      <c r="R8" s="465"/>
      <c r="S8" s="458"/>
      <c r="T8" s="459"/>
      <c r="U8" s="459"/>
      <c r="V8" s="460"/>
      <c r="W8" s="458"/>
      <c r="X8" s="459"/>
      <c r="Y8" s="459"/>
      <c r="Z8" s="465"/>
      <c r="AA8" s="466"/>
      <c r="AB8" s="466"/>
      <c r="AC8" s="467"/>
      <c r="AD8" s="466"/>
      <c r="AE8" s="468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</row>
    <row r="9" spans="1:57" ht="30" customHeight="1" x14ac:dyDescent="0.3">
      <c r="A9" s="469">
        <v>2</v>
      </c>
      <c r="B9" s="470">
        <f>IF(OR($Y$3="",$C9=""),"",IFERROR(VLOOKUP($Y$3&amp;$A9,Choice!$A$17:$K$217,11,FALSE),""))</f>
        <v>71</v>
      </c>
      <c r="C9" s="471" t="str">
        <f>IF($Y$3="","",IFERROR(VLOOKUP($Y$3&amp;$A9,Choice!$A$17:$K$217,5,FALSE),""))</f>
        <v>Malherbe Gideon</v>
      </c>
      <c r="D9" s="472" t="str">
        <f>IF(OR($Y$3="",$C9=""),"",IFERROR(VLOOKUP($Y$3&amp;$A9,Choice!$A$17:$K$217,6,FALSE),""))</f>
        <v>S</v>
      </c>
      <c r="E9" s="461"/>
      <c r="F9" s="342"/>
      <c r="G9" s="342"/>
      <c r="H9" s="346"/>
      <c r="I9" s="341"/>
      <c r="J9" s="342"/>
      <c r="K9" s="342"/>
      <c r="L9" s="346"/>
      <c r="M9" s="341"/>
      <c r="N9" s="346"/>
      <c r="O9" s="341"/>
      <c r="P9" s="346"/>
      <c r="Q9" s="473"/>
      <c r="R9" s="343"/>
      <c r="S9" s="341"/>
      <c r="T9" s="342"/>
      <c r="U9" s="342"/>
      <c r="V9" s="346"/>
      <c r="W9" s="341"/>
      <c r="X9" s="342"/>
      <c r="Y9" s="342"/>
      <c r="Z9" s="343"/>
      <c r="AA9" s="344"/>
      <c r="AB9" s="344"/>
      <c r="AC9" s="347"/>
      <c r="AD9" s="344"/>
      <c r="AE9" s="348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</row>
    <row r="10" spans="1:57" ht="30" customHeight="1" x14ac:dyDescent="0.3">
      <c r="A10" s="469">
        <v>3</v>
      </c>
      <c r="B10" s="470">
        <f>IF(OR($Y$3="",$C10=""),"",IFERROR(VLOOKUP($Y$3&amp;$A10,Choice!$A$17:$K$217,11,FALSE),""))</f>
        <v>87</v>
      </c>
      <c r="C10" s="471" t="str">
        <f>IF($Y$3="","",IFERROR(VLOOKUP($Y$3&amp;$A10,Choice!$A$17:$K$217,5,FALSE),""))</f>
        <v>Malherbe Fanie</v>
      </c>
      <c r="D10" s="472" t="str">
        <f>IF(OR($Y$3="",$C10=""),"",IFERROR(VLOOKUP($Y$3&amp;$A10,Choice!$A$17:$K$217,6,FALSE),""))</f>
        <v>S</v>
      </c>
      <c r="E10" s="341"/>
      <c r="F10" s="342"/>
      <c r="G10" s="342"/>
      <c r="H10" s="346"/>
      <c r="I10" s="341"/>
      <c r="J10" s="342"/>
      <c r="K10" s="342"/>
      <c r="L10" s="346"/>
      <c r="M10" s="341"/>
      <c r="N10" s="346"/>
      <c r="O10" s="341"/>
      <c r="P10" s="346"/>
      <c r="Q10" s="473"/>
      <c r="R10" s="343"/>
      <c r="S10" s="341"/>
      <c r="T10" s="342"/>
      <c r="U10" s="342"/>
      <c r="V10" s="346"/>
      <c r="W10" s="341"/>
      <c r="X10" s="342"/>
      <c r="Y10" s="342"/>
      <c r="Z10" s="343"/>
      <c r="AA10" s="344"/>
      <c r="AB10" s="344"/>
      <c r="AC10" s="347"/>
      <c r="AD10" s="344"/>
      <c r="AE10" s="348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</row>
    <row r="11" spans="1:57" ht="30" customHeight="1" x14ac:dyDescent="0.3">
      <c r="A11" s="469">
        <v>4</v>
      </c>
      <c r="B11" s="470">
        <f>IF(OR($Y$3="",$C11=""),"",IFERROR(VLOOKUP($Y$3&amp;$A11,Choice!$A$17:$K$217,11,FALSE),""))</f>
        <v>16</v>
      </c>
      <c r="C11" s="471" t="str">
        <f>IF($Y$3="","",IFERROR(VLOOKUP($Y$3&amp;$A11,Choice!$A$17:$K$217,5,FALSE),""))</f>
        <v>Patience Bruce</v>
      </c>
      <c r="D11" s="472" t="str">
        <f>IF(OR($Y$3="",$C11=""),"",IFERROR(VLOOKUP($Y$3&amp;$A11,Choice!$A$17:$K$217,6,FALSE),""))</f>
        <v>S</v>
      </c>
      <c r="E11" s="341"/>
      <c r="F11" s="342"/>
      <c r="G11" s="342"/>
      <c r="H11" s="346"/>
      <c r="I11" s="341"/>
      <c r="J11" s="342"/>
      <c r="K11" s="342"/>
      <c r="L11" s="346"/>
      <c r="M11" s="341"/>
      <c r="N11" s="346"/>
      <c r="O11" s="341"/>
      <c r="P11" s="346"/>
      <c r="Q11" s="473"/>
      <c r="R11" s="343"/>
      <c r="S11" s="341"/>
      <c r="T11" s="342"/>
      <c r="U11" s="342"/>
      <c r="V11" s="346"/>
      <c r="W11" s="341"/>
      <c r="X11" s="342"/>
      <c r="Y11" s="342"/>
      <c r="Z11" s="343"/>
      <c r="AA11" s="344"/>
      <c r="AB11" s="344"/>
      <c r="AC11" s="347"/>
      <c r="AD11" s="344"/>
      <c r="AE11" s="348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</row>
    <row r="12" spans="1:57" ht="30" customHeight="1" x14ac:dyDescent="0.3">
      <c r="A12" s="469">
        <v>5</v>
      </c>
      <c r="B12" s="470">
        <f>IF(OR($Y$3="",$C12=""),"",IFERROR(VLOOKUP($Y$3&amp;$A12,Choice!$A$17:$K$217,11,FALSE),""))</f>
        <v>2</v>
      </c>
      <c r="C12" s="471" t="str">
        <f>IF($Y$3="","",IFERROR(VLOOKUP($Y$3&amp;$A12,Choice!$A$17:$K$217,5,FALSE),""))</f>
        <v>Pienaar Schalk</v>
      </c>
      <c r="D12" s="472" t="str">
        <f>IF(OR($Y$3="",$C12=""),"",IFERROR(VLOOKUP($Y$3&amp;$A12,Choice!$A$17:$K$217,6,FALSE),""))</f>
        <v>S</v>
      </c>
      <c r="E12" s="341"/>
      <c r="F12" s="342"/>
      <c r="G12" s="342"/>
      <c r="H12" s="346"/>
      <c r="I12" s="341"/>
      <c r="J12" s="342"/>
      <c r="K12" s="342"/>
      <c r="L12" s="346"/>
      <c r="M12" s="341"/>
      <c r="N12" s="346"/>
      <c r="O12" s="341"/>
      <c r="P12" s="346"/>
      <c r="Q12" s="473"/>
      <c r="R12" s="343"/>
      <c r="S12" s="341"/>
      <c r="T12" s="342"/>
      <c r="U12" s="342"/>
      <c r="V12" s="346"/>
      <c r="W12" s="341"/>
      <c r="X12" s="342"/>
      <c r="Y12" s="342"/>
      <c r="Z12" s="343"/>
      <c r="AA12" s="344"/>
      <c r="AB12" s="344"/>
      <c r="AC12" s="347"/>
      <c r="AD12" s="344"/>
      <c r="AE12" s="348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</row>
    <row r="13" spans="1:57" ht="29.25" customHeight="1" thickBot="1" x14ac:dyDescent="0.35">
      <c r="A13" s="453">
        <v>6</v>
      </c>
      <c r="B13" s="474" t="str">
        <f>IF(OR($Y$3="",$C13=""),"",IFERROR(VLOOKUP($Y$3&amp;$A13,Choice!$A$17:$K$217,11,FALSE),""))</f>
        <v/>
      </c>
      <c r="C13" s="475" t="str">
        <f>IF($Y$3="","",IFERROR(VLOOKUP($Y$3&amp;$A13,Choice!$A$17:$K$217,5,FALSE),""))</f>
        <v/>
      </c>
      <c r="D13" s="476" t="str">
        <f>IF(OR($Y$3="",$C13=""),"",IFERROR(VLOOKUP($Y$3&amp;$A13,Choice!$A$17:$K$217,6,FALSE),""))</f>
        <v/>
      </c>
      <c r="E13" s="353"/>
      <c r="F13" s="354"/>
      <c r="G13" s="354"/>
      <c r="H13" s="358"/>
      <c r="I13" s="353"/>
      <c r="J13" s="354"/>
      <c r="K13" s="354"/>
      <c r="L13" s="358"/>
      <c r="M13" s="353"/>
      <c r="N13" s="358"/>
      <c r="O13" s="353"/>
      <c r="P13" s="358"/>
      <c r="Q13" s="477"/>
      <c r="R13" s="355"/>
      <c r="S13" s="353"/>
      <c r="T13" s="354"/>
      <c r="U13" s="354"/>
      <c r="V13" s="358"/>
      <c r="W13" s="353"/>
      <c r="X13" s="354"/>
      <c r="Y13" s="354"/>
      <c r="Z13" s="355"/>
      <c r="AA13" s="356"/>
      <c r="AB13" s="356"/>
      <c r="AC13" s="359"/>
      <c r="AD13" s="478"/>
      <c r="AE13" s="348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</row>
    <row r="14" spans="1:57" ht="24" customHeight="1" thickBot="1" x14ac:dyDescent="0.35">
      <c r="A14" s="116"/>
      <c r="B14" s="116"/>
      <c r="C14" s="87"/>
      <c r="D14" s="87"/>
      <c r="E14" s="87"/>
      <c r="F14" s="87"/>
      <c r="G14" s="87"/>
      <c r="H14" s="87"/>
      <c r="I14" s="87"/>
      <c r="J14" s="117"/>
      <c r="K14" s="117"/>
      <c r="L14" s="117"/>
      <c r="M14" s="117"/>
      <c r="N14" s="117"/>
      <c r="O14" s="117"/>
      <c r="P14" s="117" t="s">
        <v>5</v>
      </c>
      <c r="Q14" s="117"/>
      <c r="R14" s="117"/>
      <c r="S14" s="117"/>
      <c r="T14" s="117"/>
      <c r="U14" s="117"/>
      <c r="V14" s="117"/>
      <c r="W14" s="117"/>
      <c r="X14" s="117"/>
      <c r="Y14" s="87"/>
      <c r="Z14" s="87"/>
      <c r="AA14" s="87"/>
      <c r="AB14" s="87"/>
      <c r="AC14" s="87"/>
      <c r="AD14" s="87"/>
      <c r="AE14" s="87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</row>
    <row r="15" spans="1:57" ht="22.5" customHeight="1" thickBot="1" x14ac:dyDescent="0.35">
      <c r="A15" s="116"/>
      <c r="B15" s="116"/>
      <c r="C15" s="125" t="s">
        <v>6</v>
      </c>
      <c r="D15" s="125"/>
      <c r="E15" s="121"/>
      <c r="F15" s="121"/>
      <c r="G15" s="121"/>
      <c r="H15" s="121"/>
      <c r="I15" s="121"/>
      <c r="J15" s="87"/>
      <c r="K15" s="87"/>
      <c r="L15" s="87"/>
      <c r="M15" s="87"/>
      <c r="N15" s="479" t="s">
        <v>7</v>
      </c>
      <c r="O15" s="124"/>
      <c r="P15" s="87"/>
      <c r="Q15" s="87"/>
      <c r="R15" s="479" t="s">
        <v>8</v>
      </c>
      <c r="S15" s="124"/>
      <c r="T15" s="87"/>
      <c r="U15" s="87"/>
      <c r="V15" s="87"/>
      <c r="W15" s="87"/>
      <c r="X15" s="87"/>
      <c r="Y15" s="87"/>
      <c r="Z15" s="125" t="s">
        <v>9</v>
      </c>
      <c r="AA15" s="121"/>
      <c r="AB15" s="121"/>
      <c r="AC15" s="121"/>
      <c r="AD15" s="122"/>
      <c r="AE15" s="87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</row>
    <row r="16" spans="1:57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</row>
    <row r="17" spans="1:57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</row>
    <row r="18" spans="1:57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</row>
    <row r="19" spans="1:57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</row>
    <row r="20" spans="1:57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57" ht="30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57" ht="30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57" ht="30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57" ht="30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57" ht="30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</row>
    <row r="26" spans="1:57" ht="30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57" ht="24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57" ht="24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57" ht="24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57" ht="24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5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</sheetData>
  <sheetProtection algorithmName="SHA-512" hashValue="FZB1ObwsCrLl+uILyuVbiiX/f0cFw0J0dw//coggBZcX1dH1HRuEi5NJ9R0krQyEPydG1wlvMML4ExI1R5/lMg==" saltValue="P0RC9GQXdrMNaPVA0/Oqag==" spinCount="100000" sheet="1" objects="1" scenarios="1" selectLockedCells="1"/>
  <mergeCells count="9">
    <mergeCell ref="E3:G3"/>
    <mergeCell ref="S5:V5"/>
    <mergeCell ref="W5:Z5"/>
    <mergeCell ref="AA5:AB5"/>
    <mergeCell ref="E5:H5"/>
    <mergeCell ref="I5:L5"/>
    <mergeCell ref="M5:N5"/>
    <mergeCell ref="O5:P5"/>
    <mergeCell ref="Q5:R5"/>
  </mergeCells>
  <phoneticPr fontId="1" type="noConversion"/>
  <conditionalFormatting sqref="C8:C13">
    <cfRule type="expression" dxfId="5" priority="1">
      <formula>D8="C"</formula>
    </cfRule>
  </conditionalFormatting>
  <printOptions horizontalCentered="1" verticalCentered="1"/>
  <pageMargins left="0.43" right="0.4" top="0.98" bottom="0.65" header="0.64" footer="0.46"/>
  <pageSetup paperSize="9" scale="72" orientation="landscape" horizontalDpi="300" verticalDpi="300" r:id="rId1"/>
  <headerFooter alignWithMargins="0">
    <oddHeader>&amp;C&amp;"Arial,Bold"&amp;24NSSA Skeet</oddHeader>
    <oddFooter>&amp;LCopyright: All rights reserved&amp;CB F Black (082 517 5710)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C31"/>
  <sheetViews>
    <sheetView showGridLines="0" showRowColHeaders="0" showZeros="0" zoomScale="70" zoomScaleNormal="70" workbookViewId="0">
      <selection activeCell="Y3" sqref="Y3"/>
    </sheetView>
  </sheetViews>
  <sheetFormatPr defaultColWidth="10.28515625" defaultRowHeight="15.75" x14ac:dyDescent="0.25"/>
  <cols>
    <col min="1" max="2" width="5.28515625" style="1" customWidth="1"/>
    <col min="3" max="3" width="28.28515625" style="1" customWidth="1"/>
    <col min="4" max="4" width="4.85546875" style="1" customWidth="1"/>
    <col min="5" max="30" width="5.28515625" style="1" customWidth="1"/>
    <col min="31" max="31" width="9.85546875" style="1" customWidth="1"/>
    <col min="32" max="32" width="10.28515625" style="2" customWidth="1"/>
    <col min="33" max="16384" width="10.28515625" style="1"/>
  </cols>
  <sheetData>
    <row r="1" spans="1:55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8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</row>
    <row r="2" spans="1:55" ht="11.25" customHeight="1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8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</row>
    <row r="3" spans="1:55" ht="19.5" thickBot="1" x14ac:dyDescent="0.35">
      <c r="A3" s="129"/>
      <c r="B3" s="129"/>
      <c r="C3" s="126"/>
      <c r="D3" s="130" t="s">
        <v>21</v>
      </c>
      <c r="E3" s="499">
        <f>IF(Choice!H4="","",Choice!H4)</f>
        <v>43743</v>
      </c>
      <c r="F3" s="500"/>
      <c r="G3" s="500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26"/>
      <c r="W3" s="126"/>
      <c r="X3" s="130" t="s">
        <v>1</v>
      </c>
      <c r="Y3" s="3">
        <v>2</v>
      </c>
      <c r="Z3" s="126"/>
      <c r="AA3" s="130" t="s">
        <v>2</v>
      </c>
      <c r="AB3" s="44"/>
      <c r="AC3" s="219"/>
      <c r="AD3" s="130" t="s">
        <v>44</v>
      </c>
      <c r="AE3" s="44"/>
      <c r="AF3" s="128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</row>
    <row r="4" spans="1:55" ht="15" customHeight="1" thickBot="1" x14ac:dyDescent="0.35">
      <c r="A4" s="128"/>
      <c r="B4" s="128"/>
      <c r="C4" s="130"/>
      <c r="D4" s="130"/>
      <c r="E4" s="137"/>
      <c r="F4" s="138"/>
      <c r="G4" s="138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9"/>
      <c r="W4" s="131"/>
      <c r="X4" s="140"/>
      <c r="Y4" s="131"/>
      <c r="Z4" s="139"/>
      <c r="AA4" s="131"/>
      <c r="AB4" s="219"/>
      <c r="AC4" s="219"/>
      <c r="AD4" s="219"/>
      <c r="AE4" s="131"/>
      <c r="AF4" s="128"/>
      <c r="AG4" s="126"/>
      <c r="AH4" s="126"/>
      <c r="AI4" s="126"/>
      <c r="AJ4" s="126"/>
      <c r="AK4" s="126"/>
      <c r="AL4" s="126"/>
      <c r="AM4" s="126"/>
      <c r="AN4" s="126" t="s">
        <v>44</v>
      </c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</row>
    <row r="5" spans="1:55" ht="16.5" thickBot="1" x14ac:dyDescent="0.3">
      <c r="A5" s="128"/>
      <c r="B5" s="128"/>
      <c r="C5" s="126"/>
      <c r="D5" s="126"/>
      <c r="E5" s="508" t="s">
        <v>10</v>
      </c>
      <c r="F5" s="509"/>
      <c r="G5" s="508" t="s">
        <v>11</v>
      </c>
      <c r="H5" s="510"/>
      <c r="I5" s="508" t="s">
        <v>12</v>
      </c>
      <c r="J5" s="509"/>
      <c r="K5" s="508" t="s">
        <v>13</v>
      </c>
      <c r="L5" s="510"/>
      <c r="M5" s="508" t="s">
        <v>14</v>
      </c>
      <c r="N5" s="511"/>
      <c r="O5" s="508" t="s">
        <v>15</v>
      </c>
      <c r="P5" s="511"/>
      <c r="Q5" s="507" t="s">
        <v>16</v>
      </c>
      <c r="R5" s="507"/>
      <c r="S5" s="508" t="s">
        <v>15</v>
      </c>
      <c r="T5" s="509"/>
      <c r="U5" s="508" t="s">
        <v>14</v>
      </c>
      <c r="V5" s="510"/>
      <c r="W5" s="508" t="s">
        <v>13</v>
      </c>
      <c r="X5" s="509"/>
      <c r="Y5" s="508" t="s">
        <v>12</v>
      </c>
      <c r="Z5" s="510"/>
      <c r="AA5" s="512" t="s">
        <v>25</v>
      </c>
      <c r="AB5" s="513"/>
      <c r="AC5" s="393"/>
      <c r="AD5" s="393"/>
      <c r="AE5" s="126"/>
      <c r="AF5" s="128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</row>
    <row r="6" spans="1:55" ht="16.5" thickBot="1" x14ac:dyDescent="0.3">
      <c r="A6" s="128"/>
      <c r="B6" s="128"/>
      <c r="C6" s="126"/>
      <c r="D6" s="126"/>
      <c r="E6" s="142" t="s">
        <v>18</v>
      </c>
      <c r="F6" s="394" t="s">
        <v>19</v>
      </c>
      <c r="G6" s="142" t="s">
        <v>18</v>
      </c>
      <c r="H6" s="395" t="s">
        <v>19</v>
      </c>
      <c r="I6" s="146" t="s">
        <v>18</v>
      </c>
      <c r="J6" s="396" t="s">
        <v>19</v>
      </c>
      <c r="K6" s="146" t="s">
        <v>18</v>
      </c>
      <c r="L6" s="397" t="s">
        <v>19</v>
      </c>
      <c r="M6" s="398" t="s">
        <v>19</v>
      </c>
      <c r="N6" s="399" t="s">
        <v>18</v>
      </c>
      <c r="O6" s="398" t="s">
        <v>19</v>
      </c>
      <c r="P6" s="399" t="s">
        <v>18</v>
      </c>
      <c r="Q6" s="400" t="s">
        <v>19</v>
      </c>
      <c r="R6" s="401" t="s">
        <v>18</v>
      </c>
      <c r="S6" s="146" t="s">
        <v>19</v>
      </c>
      <c r="T6" s="396" t="s">
        <v>18</v>
      </c>
      <c r="U6" s="146" t="s">
        <v>19</v>
      </c>
      <c r="V6" s="397" t="s">
        <v>18</v>
      </c>
      <c r="W6" s="146" t="s">
        <v>19</v>
      </c>
      <c r="X6" s="396" t="s">
        <v>18</v>
      </c>
      <c r="Y6" s="146" t="s">
        <v>18</v>
      </c>
      <c r="Z6" s="397" t="s">
        <v>19</v>
      </c>
      <c r="AA6" s="398" t="s">
        <v>18</v>
      </c>
      <c r="AB6" s="399" t="s">
        <v>19</v>
      </c>
      <c r="AC6" s="402"/>
      <c r="AD6" s="402"/>
      <c r="AE6" s="126"/>
      <c r="AF6" s="128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</row>
    <row r="7" spans="1:55" ht="16.5" thickBot="1" x14ac:dyDescent="0.3">
      <c r="A7" s="158" t="s">
        <v>36</v>
      </c>
      <c r="B7" s="403" t="s">
        <v>37</v>
      </c>
      <c r="C7" s="160" t="s">
        <v>3</v>
      </c>
      <c r="D7" s="161" t="s">
        <v>38</v>
      </c>
      <c r="E7" s="162">
        <v>1</v>
      </c>
      <c r="F7" s="164">
        <v>2</v>
      </c>
      <c r="G7" s="404">
        <v>3</v>
      </c>
      <c r="H7" s="405">
        <v>4</v>
      </c>
      <c r="I7" s="162">
        <v>5</v>
      </c>
      <c r="J7" s="406">
        <v>6</v>
      </c>
      <c r="K7" s="162">
        <v>7</v>
      </c>
      <c r="L7" s="166">
        <v>8</v>
      </c>
      <c r="M7" s="167">
        <v>9</v>
      </c>
      <c r="N7" s="168">
        <v>10</v>
      </c>
      <c r="O7" s="169">
        <v>11</v>
      </c>
      <c r="P7" s="170">
        <v>12</v>
      </c>
      <c r="Q7" s="171">
        <v>13</v>
      </c>
      <c r="R7" s="172">
        <v>14</v>
      </c>
      <c r="S7" s="173">
        <v>15</v>
      </c>
      <c r="T7" s="407">
        <v>16</v>
      </c>
      <c r="U7" s="169">
        <v>17</v>
      </c>
      <c r="V7" s="170">
        <v>18</v>
      </c>
      <c r="W7" s="169">
        <v>19</v>
      </c>
      <c r="X7" s="172">
        <v>20</v>
      </c>
      <c r="Y7" s="169">
        <v>21</v>
      </c>
      <c r="Z7" s="170">
        <v>22</v>
      </c>
      <c r="AA7" s="162">
        <v>23</v>
      </c>
      <c r="AB7" s="166">
        <v>24</v>
      </c>
      <c r="AC7" s="138"/>
      <c r="AD7" s="138"/>
      <c r="AE7" s="408" t="s">
        <v>4</v>
      </c>
      <c r="AF7" s="176" t="s">
        <v>26</v>
      </c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</row>
    <row r="8" spans="1:55" ht="30" customHeight="1" x14ac:dyDescent="0.25">
      <c r="A8" s="177">
        <v>1</v>
      </c>
      <c r="B8" s="409">
        <f>IF(OR($Y$3="",$C8=""),"",IFERROR(VLOOKUP($Y$3&amp;$A8,Choice!$A$17:$K$217,11,FALSE),""))</f>
        <v>1</v>
      </c>
      <c r="C8" s="179" t="str">
        <f>IF($Y$3="","",IFERROR(VLOOKUP($Y$3&amp;$A8,Choice!$A$17:$K$217,5,FALSE),""))</f>
        <v>Henderson Rob</v>
      </c>
      <c r="D8" s="180" t="str">
        <f>IF(OR($Y$3="",$C8=""),"",IFERROR(VLOOKUP($Y$3&amp;$A8,Choice!$A$17:$K$217,6,FALSE),""))</f>
        <v>S</v>
      </c>
      <c r="E8" s="181"/>
      <c r="F8" s="188"/>
      <c r="G8" s="181"/>
      <c r="H8" s="183"/>
      <c r="I8" s="184"/>
      <c r="J8" s="189"/>
      <c r="K8" s="184"/>
      <c r="L8" s="186"/>
      <c r="M8" s="181"/>
      <c r="N8" s="183"/>
      <c r="O8" s="181"/>
      <c r="P8" s="183"/>
      <c r="Q8" s="187"/>
      <c r="R8" s="188"/>
      <c r="S8" s="181"/>
      <c r="T8" s="188"/>
      <c r="U8" s="181"/>
      <c r="V8" s="183"/>
      <c r="W8" s="181"/>
      <c r="X8" s="188"/>
      <c r="Y8" s="181"/>
      <c r="Z8" s="183"/>
      <c r="AA8" s="184"/>
      <c r="AB8" s="189"/>
      <c r="AC8" s="410"/>
      <c r="AD8" s="411"/>
      <c r="AE8" s="229"/>
      <c r="AF8" s="191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</row>
    <row r="9" spans="1:55" ht="30" customHeight="1" x14ac:dyDescent="0.25">
      <c r="A9" s="192">
        <v>2</v>
      </c>
      <c r="B9" s="409">
        <f>IF(OR($Y$3="",$C9=""),"",IFERROR(VLOOKUP($Y$3&amp;$A9,Choice!$A$17:$K$217,11,FALSE),""))</f>
        <v>78</v>
      </c>
      <c r="C9" s="179" t="str">
        <f>IF($Y$3="","",IFERROR(VLOOKUP($Y$3&amp;$A9,Choice!$A$17:$K$217,5,FALSE),""))</f>
        <v>Grimmbacher Corne</v>
      </c>
      <c r="D9" s="194" t="str">
        <f>IF(OR($Y$3="",$C9=""),"",IFERROR(VLOOKUP($Y$3&amp;$A9,Choice!$A$17:$K$217,6,FALSE),""))</f>
        <v>L</v>
      </c>
      <c r="E9" s="184"/>
      <c r="F9" s="199"/>
      <c r="G9" s="197"/>
      <c r="H9" s="196"/>
      <c r="I9" s="197"/>
      <c r="J9" s="199"/>
      <c r="K9" s="197"/>
      <c r="L9" s="196"/>
      <c r="M9" s="197"/>
      <c r="N9" s="196"/>
      <c r="O9" s="197"/>
      <c r="P9" s="196"/>
      <c r="Q9" s="198"/>
      <c r="R9" s="199"/>
      <c r="S9" s="197"/>
      <c r="T9" s="199"/>
      <c r="U9" s="197"/>
      <c r="V9" s="196"/>
      <c r="W9" s="197"/>
      <c r="X9" s="199"/>
      <c r="Y9" s="197"/>
      <c r="Z9" s="196"/>
      <c r="AA9" s="197"/>
      <c r="AB9" s="199"/>
      <c r="AC9" s="412"/>
      <c r="AD9" s="413"/>
      <c r="AE9" s="232"/>
      <c r="AF9" s="201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</row>
    <row r="10" spans="1:55" ht="30" customHeight="1" x14ac:dyDescent="0.25">
      <c r="A10" s="192">
        <v>3</v>
      </c>
      <c r="B10" s="409">
        <f>IF(OR($Y$3="",$C10=""),"",IFERROR(VLOOKUP($Y$3&amp;$A10,Choice!$A$17:$K$217,11,FALSE),""))</f>
        <v>60</v>
      </c>
      <c r="C10" s="179" t="str">
        <f>IF($Y$3="","",IFERROR(VLOOKUP($Y$3&amp;$A10,Choice!$A$17:$K$217,5,FALSE),""))</f>
        <v>Smit Quinlan</v>
      </c>
      <c r="D10" s="194" t="str">
        <f>IF(OR($Y$3="",$C10=""),"",IFERROR(VLOOKUP($Y$3&amp;$A10,Choice!$A$17:$K$217,6,FALSE),""))</f>
        <v>S</v>
      </c>
      <c r="E10" s="197"/>
      <c r="F10" s="199"/>
      <c r="G10" s="197"/>
      <c r="H10" s="196"/>
      <c r="I10" s="197"/>
      <c r="J10" s="199"/>
      <c r="K10" s="197"/>
      <c r="L10" s="196"/>
      <c r="M10" s="197"/>
      <c r="N10" s="196"/>
      <c r="O10" s="197"/>
      <c r="P10" s="196"/>
      <c r="Q10" s="198"/>
      <c r="R10" s="199"/>
      <c r="S10" s="197"/>
      <c r="T10" s="199"/>
      <c r="U10" s="197"/>
      <c r="V10" s="196"/>
      <c r="W10" s="197"/>
      <c r="X10" s="199"/>
      <c r="Y10" s="197"/>
      <c r="Z10" s="196"/>
      <c r="AA10" s="197"/>
      <c r="AB10" s="199"/>
      <c r="AC10" s="412"/>
      <c r="AD10" s="413"/>
      <c r="AE10" s="232"/>
      <c r="AF10" s="201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</row>
    <row r="11" spans="1:55" ht="30" customHeight="1" x14ac:dyDescent="0.25">
      <c r="A11" s="192">
        <v>4</v>
      </c>
      <c r="B11" s="409">
        <f>IF(OR($Y$3="",$C11=""),"",IFERROR(VLOOKUP($Y$3&amp;$A11,Choice!$A$17:$K$217,11,FALSE),""))</f>
        <v>50</v>
      </c>
      <c r="C11" s="179" t="str">
        <f>IF($Y$3="","",IFERROR(VLOOKUP($Y$3&amp;$A11,Choice!$A$17:$K$217,5,FALSE),""))</f>
        <v>Vermaak Coen</v>
      </c>
      <c r="D11" s="194" t="str">
        <f>IF(OR($Y$3="",$C11=""),"",IFERROR(VLOOKUP($Y$3&amp;$A11,Choice!$A$17:$K$217,6,FALSE),""))</f>
        <v>S</v>
      </c>
      <c r="E11" s="197"/>
      <c r="F11" s="199"/>
      <c r="G11" s="197"/>
      <c r="H11" s="196"/>
      <c r="I11" s="197"/>
      <c r="J11" s="199"/>
      <c r="K11" s="197"/>
      <c r="L11" s="196"/>
      <c r="M11" s="197"/>
      <c r="N11" s="196"/>
      <c r="O11" s="197"/>
      <c r="P11" s="196"/>
      <c r="Q11" s="198"/>
      <c r="R11" s="199"/>
      <c r="S11" s="197"/>
      <c r="T11" s="199"/>
      <c r="U11" s="197"/>
      <c r="V11" s="196"/>
      <c r="W11" s="197"/>
      <c r="X11" s="199"/>
      <c r="Y11" s="197"/>
      <c r="Z11" s="196"/>
      <c r="AA11" s="197"/>
      <c r="AB11" s="199"/>
      <c r="AC11" s="412"/>
      <c r="AD11" s="413"/>
      <c r="AE11" s="232"/>
      <c r="AF11" s="201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</row>
    <row r="12" spans="1:55" ht="30" customHeight="1" x14ac:dyDescent="0.25">
      <c r="A12" s="192">
        <v>5</v>
      </c>
      <c r="B12" s="409">
        <f>IF(OR($Y$3="",$C12=""),"",IFERROR(VLOOKUP($Y$3&amp;$A12,Choice!$A$17:$K$217,11,FALSE),""))</f>
        <v>48</v>
      </c>
      <c r="C12" s="179" t="str">
        <f>IF($Y$3="","",IFERROR(VLOOKUP($Y$3&amp;$A12,Choice!$A$17:$K$217,5,FALSE),""))</f>
        <v>Vermaak Coen (Jnr)</v>
      </c>
      <c r="D12" s="194" t="str">
        <f>IF(OR($Y$3="",$C12=""),"",IFERROR(VLOOKUP($Y$3&amp;$A12,Choice!$A$17:$K$217,6,FALSE),""))</f>
        <v>J</v>
      </c>
      <c r="E12" s="197"/>
      <c r="F12" s="199"/>
      <c r="G12" s="197"/>
      <c r="H12" s="196"/>
      <c r="I12" s="197"/>
      <c r="J12" s="199"/>
      <c r="K12" s="197"/>
      <c r="L12" s="196"/>
      <c r="M12" s="197"/>
      <c r="N12" s="196"/>
      <c r="O12" s="197"/>
      <c r="P12" s="196"/>
      <c r="Q12" s="198"/>
      <c r="R12" s="199"/>
      <c r="S12" s="197"/>
      <c r="T12" s="199"/>
      <c r="U12" s="197"/>
      <c r="V12" s="196"/>
      <c r="W12" s="197"/>
      <c r="X12" s="199"/>
      <c r="Y12" s="197"/>
      <c r="Z12" s="196"/>
      <c r="AA12" s="197"/>
      <c r="AB12" s="199"/>
      <c r="AC12" s="412"/>
      <c r="AD12" s="413"/>
      <c r="AE12" s="232"/>
      <c r="AF12" s="201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</row>
    <row r="13" spans="1:55" ht="30" customHeight="1" thickBot="1" x14ac:dyDescent="0.3">
      <c r="A13" s="202">
        <v>6</v>
      </c>
      <c r="B13" s="414" t="str">
        <f>IF(OR($Y$3="",$C13=""),"",IFERROR(VLOOKUP($Y$3&amp;$A13,Choice!$A$17:$K$217,11,FALSE),""))</f>
        <v/>
      </c>
      <c r="C13" s="204" t="str">
        <f>IF($Y$3="","",IFERROR(VLOOKUP($Y$3&amp;$A13,Choice!$A$17:$K$217,5,FALSE),""))</f>
        <v/>
      </c>
      <c r="D13" s="205" t="str">
        <f>IF(OR($Y$3="",$C13=""),"",IFERROR(VLOOKUP($Y$3&amp;$A13,Choice!$A$17:$K$217,6,FALSE),""))</f>
        <v/>
      </c>
      <c r="E13" s="206"/>
      <c r="F13" s="210"/>
      <c r="G13" s="206"/>
      <c r="H13" s="208"/>
      <c r="I13" s="206"/>
      <c r="J13" s="210"/>
      <c r="K13" s="206"/>
      <c r="L13" s="208"/>
      <c r="M13" s="206"/>
      <c r="N13" s="208"/>
      <c r="O13" s="206"/>
      <c r="P13" s="208"/>
      <c r="Q13" s="209"/>
      <c r="R13" s="210"/>
      <c r="S13" s="206"/>
      <c r="T13" s="210"/>
      <c r="U13" s="206"/>
      <c r="V13" s="208"/>
      <c r="W13" s="206"/>
      <c r="X13" s="210"/>
      <c r="Y13" s="206"/>
      <c r="Z13" s="208"/>
      <c r="AA13" s="206"/>
      <c r="AB13" s="210"/>
      <c r="AC13" s="415"/>
      <c r="AD13" s="416"/>
      <c r="AE13" s="236"/>
      <c r="AF13" s="201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</row>
    <row r="14" spans="1:55" ht="24" customHeight="1" thickBot="1" x14ac:dyDescent="0.35">
      <c r="A14" s="128"/>
      <c r="B14" s="128"/>
      <c r="C14" s="126"/>
      <c r="D14" s="126"/>
      <c r="E14" s="126"/>
      <c r="F14" s="126"/>
      <c r="G14" s="126"/>
      <c r="H14" s="126"/>
      <c r="I14" s="126"/>
      <c r="J14" s="131"/>
      <c r="K14" s="131"/>
      <c r="L14" s="131"/>
      <c r="M14" s="131"/>
      <c r="N14" s="131"/>
      <c r="O14" s="141"/>
      <c r="P14" s="141" t="s">
        <v>5</v>
      </c>
      <c r="Q14" s="141"/>
      <c r="R14" s="141"/>
      <c r="S14" s="141"/>
      <c r="T14" s="131"/>
      <c r="U14" s="131"/>
      <c r="V14" s="131"/>
      <c r="W14" s="131"/>
      <c r="X14" s="131"/>
      <c r="Y14" s="126"/>
      <c r="Z14" s="126"/>
      <c r="AA14" s="126"/>
      <c r="AB14" s="126"/>
      <c r="AC14" s="126"/>
      <c r="AD14" s="126"/>
      <c r="AE14" s="126"/>
      <c r="AF14" s="128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</row>
    <row r="15" spans="1:55" ht="24" customHeight="1" thickBot="1" x14ac:dyDescent="0.35">
      <c r="A15" s="128"/>
      <c r="B15" s="128"/>
      <c r="C15" s="130" t="s">
        <v>6</v>
      </c>
      <c r="D15" s="130"/>
      <c r="E15" s="135"/>
      <c r="F15" s="135"/>
      <c r="G15" s="135"/>
      <c r="H15" s="135"/>
      <c r="I15" s="135"/>
      <c r="J15" s="126"/>
      <c r="K15" s="126"/>
      <c r="L15" s="126"/>
      <c r="M15" s="126"/>
      <c r="N15" s="213" t="s">
        <v>7</v>
      </c>
      <c r="O15" s="214"/>
      <c r="P15" s="126"/>
      <c r="Q15" s="126"/>
      <c r="R15" s="213" t="s">
        <v>8</v>
      </c>
      <c r="S15" s="214"/>
      <c r="T15" s="126"/>
      <c r="U15" s="126"/>
      <c r="V15" s="126"/>
      <c r="W15" s="126"/>
      <c r="X15" s="126"/>
      <c r="Y15" s="126"/>
      <c r="Z15" s="130" t="s">
        <v>9</v>
      </c>
      <c r="AA15" s="135"/>
      <c r="AB15" s="135"/>
      <c r="AC15" s="135"/>
      <c r="AD15" s="135"/>
      <c r="AE15" s="216"/>
      <c r="AF15" s="128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</row>
    <row r="16" spans="1:55" ht="12" customHeight="1" x14ac:dyDescent="0.3">
      <c r="A16" s="128"/>
      <c r="B16" s="128"/>
      <c r="C16" s="130"/>
      <c r="D16" s="130"/>
      <c r="E16" s="141"/>
      <c r="F16" s="141"/>
      <c r="G16" s="141"/>
      <c r="H16" s="141"/>
      <c r="I16" s="141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39"/>
      <c r="Z16" s="139"/>
      <c r="AA16" s="141"/>
      <c r="AB16" s="141"/>
      <c r="AC16" s="141"/>
      <c r="AD16" s="141"/>
      <c r="AE16" s="215"/>
      <c r="AF16" s="128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</row>
    <row r="17" spans="1:55" ht="19.5" thickBot="1" x14ac:dyDescent="0.35">
      <c r="A17" s="128"/>
      <c r="B17" s="128"/>
      <c r="C17" s="417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39"/>
      <c r="W17" s="131"/>
      <c r="X17" s="130" t="s">
        <v>1</v>
      </c>
      <c r="Y17" s="133">
        <f>IF(Y3="","",Y3)</f>
        <v>2</v>
      </c>
      <c r="Z17" s="126"/>
      <c r="AA17" s="130" t="s">
        <v>2</v>
      </c>
      <c r="AB17" s="218" t="str">
        <f>IF(AB3="","",AB3)</f>
        <v/>
      </c>
      <c r="AC17" s="219"/>
      <c r="AD17" s="130" t="s">
        <v>44</v>
      </c>
      <c r="AE17" s="218" t="str">
        <f>IF(AE3="","",AE3+1)</f>
        <v/>
      </c>
      <c r="AF17" s="128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</row>
    <row r="18" spans="1:55" ht="14.25" customHeight="1" thickBot="1" x14ac:dyDescent="0.35">
      <c r="A18" s="128"/>
      <c r="B18" s="128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39"/>
      <c r="W18" s="131"/>
      <c r="X18" s="140"/>
      <c r="Y18" s="126"/>
      <c r="Z18" s="139"/>
      <c r="AA18" s="126"/>
      <c r="AB18" s="215"/>
      <c r="AC18" s="215"/>
      <c r="AD18" s="215"/>
      <c r="AE18" s="126"/>
      <c r="AF18" s="128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</row>
    <row r="19" spans="1:55" ht="16.5" thickBot="1" x14ac:dyDescent="0.3">
      <c r="A19" s="128"/>
      <c r="B19" s="128"/>
      <c r="C19" s="126"/>
      <c r="D19" s="126"/>
      <c r="E19" s="508" t="s">
        <v>10</v>
      </c>
      <c r="F19" s="509"/>
      <c r="G19" s="508" t="s">
        <v>11</v>
      </c>
      <c r="H19" s="510"/>
      <c r="I19" s="508" t="s">
        <v>12</v>
      </c>
      <c r="J19" s="509"/>
      <c r="K19" s="508" t="s">
        <v>13</v>
      </c>
      <c r="L19" s="510"/>
      <c r="M19" s="508" t="s">
        <v>14</v>
      </c>
      <c r="N19" s="511"/>
      <c r="O19" s="508" t="s">
        <v>15</v>
      </c>
      <c r="P19" s="511"/>
      <c r="Q19" s="507" t="s">
        <v>16</v>
      </c>
      <c r="R19" s="507"/>
      <c r="S19" s="508" t="s">
        <v>15</v>
      </c>
      <c r="T19" s="509"/>
      <c r="U19" s="508" t="s">
        <v>14</v>
      </c>
      <c r="V19" s="510"/>
      <c r="W19" s="508" t="s">
        <v>13</v>
      </c>
      <c r="X19" s="509"/>
      <c r="Y19" s="508" t="s">
        <v>12</v>
      </c>
      <c r="Z19" s="510"/>
      <c r="AA19" s="514" t="s">
        <v>25</v>
      </c>
      <c r="AB19" s="515"/>
      <c r="AC19" s="508" t="s">
        <v>10</v>
      </c>
      <c r="AD19" s="510"/>
      <c r="AE19" s="126"/>
      <c r="AF19" s="128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</row>
    <row r="20" spans="1:55" ht="16.5" thickBot="1" x14ac:dyDescent="0.3">
      <c r="A20" s="128"/>
      <c r="B20" s="128"/>
      <c r="C20" s="126"/>
      <c r="D20" s="126"/>
      <c r="E20" s="142" t="s">
        <v>18</v>
      </c>
      <c r="F20" s="394" t="s">
        <v>19</v>
      </c>
      <c r="G20" s="142" t="s">
        <v>18</v>
      </c>
      <c r="H20" s="395" t="s">
        <v>19</v>
      </c>
      <c r="I20" s="146" t="s">
        <v>18</v>
      </c>
      <c r="J20" s="396" t="s">
        <v>19</v>
      </c>
      <c r="K20" s="146" t="s">
        <v>18</v>
      </c>
      <c r="L20" s="397" t="s">
        <v>19</v>
      </c>
      <c r="M20" s="398" t="s">
        <v>19</v>
      </c>
      <c r="N20" s="399" t="s">
        <v>18</v>
      </c>
      <c r="O20" s="398" t="s">
        <v>19</v>
      </c>
      <c r="P20" s="399" t="s">
        <v>18</v>
      </c>
      <c r="Q20" s="400" t="s">
        <v>19</v>
      </c>
      <c r="R20" s="401" t="s">
        <v>18</v>
      </c>
      <c r="S20" s="146" t="s">
        <v>19</v>
      </c>
      <c r="T20" s="396" t="s">
        <v>18</v>
      </c>
      <c r="U20" s="146" t="s">
        <v>19</v>
      </c>
      <c r="V20" s="397" t="s">
        <v>18</v>
      </c>
      <c r="W20" s="146" t="s">
        <v>19</v>
      </c>
      <c r="X20" s="396" t="s">
        <v>18</v>
      </c>
      <c r="Y20" s="146" t="s">
        <v>18</v>
      </c>
      <c r="Z20" s="397" t="s">
        <v>19</v>
      </c>
      <c r="AA20" s="398" t="s">
        <v>18</v>
      </c>
      <c r="AB20" s="399" t="s">
        <v>19</v>
      </c>
      <c r="AC20" s="398" t="s">
        <v>18</v>
      </c>
      <c r="AD20" s="399" t="s">
        <v>19</v>
      </c>
      <c r="AE20" s="126"/>
      <c r="AF20" s="128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</row>
    <row r="21" spans="1:55" ht="16.5" thickBot="1" x14ac:dyDescent="0.3">
      <c r="A21" s="158" t="s">
        <v>36</v>
      </c>
      <c r="B21" s="403" t="s">
        <v>37</v>
      </c>
      <c r="C21" s="160" t="s">
        <v>3</v>
      </c>
      <c r="D21" s="161" t="s">
        <v>38</v>
      </c>
      <c r="E21" s="162">
        <v>1</v>
      </c>
      <c r="F21" s="164">
        <v>2</v>
      </c>
      <c r="G21" s="404">
        <v>3</v>
      </c>
      <c r="H21" s="405">
        <v>4</v>
      </c>
      <c r="I21" s="162">
        <v>5</v>
      </c>
      <c r="J21" s="406">
        <v>6</v>
      </c>
      <c r="K21" s="162">
        <v>7</v>
      </c>
      <c r="L21" s="166">
        <v>8</v>
      </c>
      <c r="M21" s="167">
        <v>9</v>
      </c>
      <c r="N21" s="168">
        <v>10</v>
      </c>
      <c r="O21" s="169">
        <v>11</v>
      </c>
      <c r="P21" s="170">
        <v>12</v>
      </c>
      <c r="Q21" s="171">
        <v>13</v>
      </c>
      <c r="R21" s="172">
        <v>14</v>
      </c>
      <c r="S21" s="173">
        <v>15</v>
      </c>
      <c r="T21" s="407">
        <v>16</v>
      </c>
      <c r="U21" s="169">
        <v>17</v>
      </c>
      <c r="V21" s="170">
        <v>18</v>
      </c>
      <c r="W21" s="169">
        <v>19</v>
      </c>
      <c r="X21" s="172">
        <v>20</v>
      </c>
      <c r="Y21" s="169">
        <v>21</v>
      </c>
      <c r="Z21" s="170">
        <v>22</v>
      </c>
      <c r="AA21" s="162">
        <v>23</v>
      </c>
      <c r="AB21" s="166">
        <v>24</v>
      </c>
      <c r="AC21" s="162">
        <v>25</v>
      </c>
      <c r="AD21" s="166">
        <v>26</v>
      </c>
      <c r="AE21" s="175" t="s">
        <v>4</v>
      </c>
      <c r="AF21" s="176" t="s">
        <v>26</v>
      </c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</row>
    <row r="22" spans="1:55" ht="30" customHeight="1" x14ac:dyDescent="0.25">
      <c r="A22" s="177">
        <v>1</v>
      </c>
      <c r="B22" s="409">
        <f>IF(B8="","",B8)</f>
        <v>1</v>
      </c>
      <c r="C22" s="179" t="str">
        <f t="shared" ref="C22:D22" si="0">IF(C8="","",C8)</f>
        <v>Henderson Rob</v>
      </c>
      <c r="D22" s="180" t="str">
        <f t="shared" si="0"/>
        <v>S</v>
      </c>
      <c r="E22" s="181"/>
      <c r="F22" s="188"/>
      <c r="G22" s="181"/>
      <c r="H22" s="183"/>
      <c r="I22" s="184"/>
      <c r="J22" s="189"/>
      <c r="K22" s="184"/>
      <c r="L22" s="186"/>
      <c r="M22" s="181"/>
      <c r="N22" s="183"/>
      <c r="O22" s="181"/>
      <c r="P22" s="183"/>
      <c r="Q22" s="187"/>
      <c r="R22" s="188"/>
      <c r="S22" s="181"/>
      <c r="T22" s="188"/>
      <c r="U22" s="181"/>
      <c r="V22" s="183"/>
      <c r="W22" s="181"/>
      <c r="X22" s="188"/>
      <c r="Y22" s="181"/>
      <c r="Z22" s="183"/>
      <c r="AA22" s="184"/>
      <c r="AB22" s="186"/>
      <c r="AC22" s="418"/>
      <c r="AD22" s="186"/>
      <c r="AE22" s="229"/>
      <c r="AF22" s="191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</row>
    <row r="23" spans="1:55" ht="30" customHeight="1" x14ac:dyDescent="0.25">
      <c r="A23" s="192">
        <v>2</v>
      </c>
      <c r="B23" s="409">
        <f t="shared" ref="B23:D23" si="1">IF(B9="","",B9)</f>
        <v>78</v>
      </c>
      <c r="C23" s="179" t="str">
        <f t="shared" si="1"/>
        <v>Grimmbacher Corne</v>
      </c>
      <c r="D23" s="194" t="str">
        <f t="shared" si="1"/>
        <v>L</v>
      </c>
      <c r="E23" s="184"/>
      <c r="F23" s="199"/>
      <c r="G23" s="197"/>
      <c r="H23" s="196"/>
      <c r="I23" s="197"/>
      <c r="J23" s="199"/>
      <c r="K23" s="197"/>
      <c r="L23" s="196"/>
      <c r="M23" s="197"/>
      <c r="N23" s="196"/>
      <c r="O23" s="197"/>
      <c r="P23" s="196"/>
      <c r="Q23" s="198"/>
      <c r="R23" s="199"/>
      <c r="S23" s="197"/>
      <c r="T23" s="199"/>
      <c r="U23" s="197"/>
      <c r="V23" s="196"/>
      <c r="W23" s="197"/>
      <c r="X23" s="199"/>
      <c r="Y23" s="197"/>
      <c r="Z23" s="196"/>
      <c r="AA23" s="197"/>
      <c r="AB23" s="196"/>
      <c r="AC23" s="198"/>
      <c r="AD23" s="196"/>
      <c r="AE23" s="232"/>
      <c r="AF23" s="201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</row>
    <row r="24" spans="1:55" ht="30" customHeight="1" x14ac:dyDescent="0.25">
      <c r="A24" s="192">
        <v>3</v>
      </c>
      <c r="B24" s="409">
        <f t="shared" ref="B24:D24" si="2">IF(B10="","",B10)</f>
        <v>60</v>
      </c>
      <c r="C24" s="179" t="str">
        <f t="shared" si="2"/>
        <v>Smit Quinlan</v>
      </c>
      <c r="D24" s="194" t="str">
        <f t="shared" si="2"/>
        <v>S</v>
      </c>
      <c r="E24" s="197"/>
      <c r="F24" s="199"/>
      <c r="G24" s="197"/>
      <c r="H24" s="196"/>
      <c r="I24" s="197"/>
      <c r="J24" s="199"/>
      <c r="K24" s="197"/>
      <c r="L24" s="196"/>
      <c r="M24" s="197"/>
      <c r="N24" s="196"/>
      <c r="O24" s="197"/>
      <c r="P24" s="196"/>
      <c r="Q24" s="198"/>
      <c r="R24" s="199"/>
      <c r="S24" s="197"/>
      <c r="T24" s="199"/>
      <c r="U24" s="197"/>
      <c r="V24" s="196"/>
      <c r="W24" s="197"/>
      <c r="X24" s="199"/>
      <c r="Y24" s="197"/>
      <c r="Z24" s="196"/>
      <c r="AA24" s="197"/>
      <c r="AB24" s="196"/>
      <c r="AC24" s="198"/>
      <c r="AD24" s="196"/>
      <c r="AE24" s="232"/>
      <c r="AF24" s="201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</row>
    <row r="25" spans="1:55" ht="30" customHeight="1" x14ac:dyDescent="0.25">
      <c r="A25" s="192">
        <v>4</v>
      </c>
      <c r="B25" s="409">
        <f t="shared" ref="B25:D25" si="3">IF(B11="","",B11)</f>
        <v>50</v>
      </c>
      <c r="C25" s="179" t="str">
        <f t="shared" si="3"/>
        <v>Vermaak Coen</v>
      </c>
      <c r="D25" s="194" t="str">
        <f t="shared" si="3"/>
        <v>S</v>
      </c>
      <c r="E25" s="197"/>
      <c r="F25" s="199"/>
      <c r="G25" s="197"/>
      <c r="H25" s="196"/>
      <c r="I25" s="197"/>
      <c r="J25" s="199"/>
      <c r="K25" s="197"/>
      <c r="L25" s="196"/>
      <c r="M25" s="197"/>
      <c r="N25" s="196"/>
      <c r="O25" s="197"/>
      <c r="P25" s="196"/>
      <c r="Q25" s="198"/>
      <c r="R25" s="199"/>
      <c r="S25" s="197"/>
      <c r="T25" s="199"/>
      <c r="U25" s="197"/>
      <c r="V25" s="196"/>
      <c r="W25" s="197"/>
      <c r="X25" s="199"/>
      <c r="Y25" s="197"/>
      <c r="Z25" s="196"/>
      <c r="AA25" s="197"/>
      <c r="AB25" s="196"/>
      <c r="AC25" s="198"/>
      <c r="AD25" s="196"/>
      <c r="AE25" s="232"/>
      <c r="AF25" s="201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</row>
    <row r="26" spans="1:55" ht="30" customHeight="1" x14ac:dyDescent="0.25">
      <c r="A26" s="192">
        <v>5</v>
      </c>
      <c r="B26" s="409">
        <f t="shared" ref="B26:D26" si="4">IF(B12="","",B12)</f>
        <v>48</v>
      </c>
      <c r="C26" s="179" t="str">
        <f t="shared" si="4"/>
        <v>Vermaak Coen (Jnr)</v>
      </c>
      <c r="D26" s="194" t="str">
        <f t="shared" si="4"/>
        <v>J</v>
      </c>
      <c r="E26" s="197"/>
      <c r="F26" s="199"/>
      <c r="G26" s="197"/>
      <c r="H26" s="196"/>
      <c r="I26" s="197"/>
      <c r="J26" s="199"/>
      <c r="K26" s="197"/>
      <c r="L26" s="196"/>
      <c r="M26" s="197"/>
      <c r="N26" s="196"/>
      <c r="O26" s="197"/>
      <c r="P26" s="196"/>
      <c r="Q26" s="198"/>
      <c r="R26" s="199"/>
      <c r="S26" s="197"/>
      <c r="T26" s="199"/>
      <c r="U26" s="197"/>
      <c r="V26" s="196"/>
      <c r="W26" s="197"/>
      <c r="X26" s="199"/>
      <c r="Y26" s="197"/>
      <c r="Z26" s="196"/>
      <c r="AA26" s="197"/>
      <c r="AB26" s="196"/>
      <c r="AC26" s="198"/>
      <c r="AD26" s="196"/>
      <c r="AE26" s="232"/>
      <c r="AF26" s="201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</row>
    <row r="27" spans="1:55" ht="30" customHeight="1" thickBot="1" x14ac:dyDescent="0.3">
      <c r="A27" s="202">
        <v>6</v>
      </c>
      <c r="B27" s="414" t="str">
        <f t="shared" ref="B27:D27" si="5">IF(B13="","",B13)</f>
        <v/>
      </c>
      <c r="C27" s="204" t="str">
        <f t="shared" si="5"/>
        <v/>
      </c>
      <c r="D27" s="205" t="str">
        <f t="shared" si="5"/>
        <v/>
      </c>
      <c r="E27" s="206"/>
      <c r="F27" s="210"/>
      <c r="G27" s="206"/>
      <c r="H27" s="208"/>
      <c r="I27" s="206"/>
      <c r="J27" s="210"/>
      <c r="K27" s="206"/>
      <c r="L27" s="208"/>
      <c r="M27" s="206"/>
      <c r="N27" s="208"/>
      <c r="O27" s="206"/>
      <c r="P27" s="208"/>
      <c r="Q27" s="209"/>
      <c r="R27" s="210"/>
      <c r="S27" s="206"/>
      <c r="T27" s="210"/>
      <c r="U27" s="206"/>
      <c r="V27" s="208"/>
      <c r="W27" s="206"/>
      <c r="X27" s="210"/>
      <c r="Y27" s="206"/>
      <c r="Z27" s="208"/>
      <c r="AA27" s="206"/>
      <c r="AB27" s="208"/>
      <c r="AC27" s="209"/>
      <c r="AD27" s="208"/>
      <c r="AE27" s="236"/>
      <c r="AF27" s="201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</row>
    <row r="28" spans="1:55" ht="24" customHeight="1" thickBot="1" x14ac:dyDescent="0.35">
      <c r="A28" s="128"/>
      <c r="B28" s="128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31"/>
      <c r="O28" s="141"/>
      <c r="P28" s="141" t="s">
        <v>5</v>
      </c>
      <c r="Q28" s="141"/>
      <c r="R28" s="141"/>
      <c r="S28" s="141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8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</row>
    <row r="29" spans="1:55" ht="24" customHeight="1" thickBot="1" x14ac:dyDescent="0.35">
      <c r="A29" s="126"/>
      <c r="B29" s="126"/>
      <c r="C29" s="130" t="s">
        <v>6</v>
      </c>
      <c r="D29" s="130"/>
      <c r="E29" s="135"/>
      <c r="F29" s="135"/>
      <c r="G29" s="135"/>
      <c r="H29" s="135"/>
      <c r="I29" s="216"/>
      <c r="J29" s="126"/>
      <c r="K29" s="126"/>
      <c r="L29" s="126"/>
      <c r="M29" s="126"/>
      <c r="N29" s="213" t="s">
        <v>7</v>
      </c>
      <c r="O29" s="214"/>
      <c r="P29" s="126"/>
      <c r="Q29" s="126"/>
      <c r="R29" s="213" t="s">
        <v>8</v>
      </c>
      <c r="S29" s="214"/>
      <c r="T29" s="126"/>
      <c r="U29" s="126"/>
      <c r="V29" s="126"/>
      <c r="W29" s="126"/>
      <c r="X29" s="126"/>
      <c r="Y29" s="139" t="s">
        <v>9</v>
      </c>
      <c r="Z29" s="139"/>
      <c r="AA29" s="135"/>
      <c r="AB29" s="135"/>
      <c r="AC29" s="135"/>
      <c r="AD29" s="135"/>
      <c r="AE29" s="216"/>
      <c r="AF29" s="128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</row>
    <row r="30" spans="1:55" ht="24" customHeight="1" x14ac:dyDescent="0.25"/>
    <row r="31" spans="1:55" ht="24" customHeight="1" x14ac:dyDescent="0.25"/>
  </sheetData>
  <sheetProtection algorithmName="SHA-512" hashValue="YR8UtLFav1w53L0puzVK8F9Jn1zvQDO7sJJPiB1vd3sI3rB1dDrdrNQhfy8S8A9CxseN3FidKkEVMJwF1wJzEA==" saltValue="2BZ3mYOHZivEWj7DgPtzJw==" spinCount="100000" sheet="1" objects="1" scenarios="1" selectLockedCells="1"/>
  <mergeCells count="26">
    <mergeCell ref="AC19:AD19"/>
    <mergeCell ref="Y5:Z5"/>
    <mergeCell ref="E19:F19"/>
    <mergeCell ref="G19:H19"/>
    <mergeCell ref="I19:J19"/>
    <mergeCell ref="K19:L19"/>
    <mergeCell ref="S19:T19"/>
    <mergeCell ref="U19:V19"/>
    <mergeCell ref="W19:X19"/>
    <mergeCell ref="Y19:Z19"/>
    <mergeCell ref="AA5:AB5"/>
    <mergeCell ref="M19:N19"/>
    <mergeCell ref="O19:P19"/>
    <mergeCell ref="Q19:R19"/>
    <mergeCell ref="AA19:AB19"/>
    <mergeCell ref="O5:P5"/>
    <mergeCell ref="Q5:R5"/>
    <mergeCell ref="S5:T5"/>
    <mergeCell ref="U5:V5"/>
    <mergeCell ref="W5:X5"/>
    <mergeCell ref="E3:G3"/>
    <mergeCell ref="M5:N5"/>
    <mergeCell ref="E5:F5"/>
    <mergeCell ref="G5:H5"/>
    <mergeCell ref="I5:J5"/>
    <mergeCell ref="K5:L5"/>
  </mergeCells>
  <phoneticPr fontId="1" type="noConversion"/>
  <printOptions horizontalCentered="1" verticalCentered="1"/>
  <pageMargins left="0.43" right="0.4" top="0.98" bottom="0.65" header="0.64" footer="0.45"/>
  <pageSetup paperSize="9" scale="70" orientation="landscape" horizontalDpi="300" verticalDpi="300" r:id="rId1"/>
  <headerFooter alignWithMargins="0">
    <oddHeader>&amp;C&amp;"Arial,Bold"&amp;24Skeet Doubles</oddHeader>
    <oddFooter>&amp;LCopyright: All rights reserved&amp;CB F Black: (082 517 5710)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BF27"/>
  <sheetViews>
    <sheetView showGridLines="0" showRowColHeaders="0" showZeros="0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6.28515625" style="1" customWidth="1"/>
    <col min="3" max="3" width="28.140625" style="1" customWidth="1"/>
    <col min="4" max="4" width="4.7109375" style="1" customWidth="1"/>
    <col min="5" max="25" width="5.85546875" style="1" customWidth="1"/>
    <col min="26" max="26" width="5.28515625" style="1" customWidth="1"/>
    <col min="27" max="27" width="6.42578125" style="1" customWidth="1"/>
    <col min="28" max="29" width="5.85546875" style="1" customWidth="1"/>
    <col min="30" max="30" width="9.85546875" style="1" customWidth="1"/>
    <col min="31" max="31" width="8.42578125" style="1" customWidth="1"/>
    <col min="32" max="35" width="4" style="1" customWidth="1"/>
    <col min="36" max="36" width="4" style="2" customWidth="1"/>
    <col min="37" max="39" width="5.28515625" customWidth="1"/>
    <col min="42" max="42" width="10.85546875" customWidth="1"/>
    <col min="43" max="43" width="10.28515625" style="1"/>
    <col min="44" max="44" width="12.5703125" style="1" customWidth="1"/>
    <col min="45" max="48" width="10.28515625" style="1"/>
    <col min="49" max="49" width="20.7109375" style="1" customWidth="1"/>
    <col min="50" max="16384" width="10.28515625" style="1"/>
  </cols>
  <sheetData>
    <row r="1" spans="1:58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78" t="s">
        <v>103</v>
      </c>
      <c r="O1" s="251" t="str">
        <f>AU4</f>
        <v>Anti-Clockwise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263"/>
      <c r="AI1" s="263"/>
      <c r="AJ1" s="388"/>
      <c r="AK1" s="301"/>
      <c r="AL1" s="301"/>
      <c r="AM1" s="301"/>
      <c r="AN1" s="252"/>
      <c r="AO1" s="252"/>
      <c r="AP1" s="252"/>
      <c r="AQ1" s="217"/>
      <c r="AR1" s="217"/>
      <c r="AS1" s="217"/>
      <c r="AT1" s="217">
        <v>1</v>
      </c>
      <c r="AU1" s="217" t="s">
        <v>101</v>
      </c>
      <c r="AV1" s="217"/>
      <c r="AW1" s="217"/>
      <c r="AX1" s="217"/>
      <c r="AY1" s="217"/>
      <c r="AZ1" s="217"/>
      <c r="BA1" s="217"/>
      <c r="BB1" s="217"/>
      <c r="BC1" s="217"/>
      <c r="BD1" s="217"/>
      <c r="BE1" s="50"/>
      <c r="BF1" s="23"/>
    </row>
    <row r="2" spans="1:58" ht="30" x14ac:dyDescent="0.4">
      <c r="A2" s="87"/>
      <c r="B2" s="87"/>
      <c r="C2" s="253"/>
      <c r="D2" s="87"/>
      <c r="E2" s="87"/>
      <c r="F2" s="87"/>
      <c r="G2" s="87"/>
      <c r="H2" s="87"/>
      <c r="I2" s="87"/>
      <c r="J2" s="254"/>
      <c r="K2" s="255"/>
      <c r="L2" s="255"/>
      <c r="M2" s="255"/>
      <c r="N2" s="255"/>
      <c r="O2" s="255"/>
      <c r="P2" s="255"/>
      <c r="Q2" s="255"/>
      <c r="R2" s="87"/>
      <c r="S2" s="87"/>
      <c r="T2" s="87"/>
      <c r="U2" s="87"/>
      <c r="V2" s="87"/>
      <c r="W2" s="87"/>
      <c r="X2" s="87"/>
      <c r="Y2" s="87"/>
      <c r="Z2" s="125"/>
      <c r="AA2" s="87"/>
      <c r="AB2" s="87"/>
      <c r="AC2" s="87"/>
      <c r="AD2" s="87"/>
      <c r="AE2" s="87"/>
      <c r="AF2" s="256"/>
      <c r="AG2" s="256"/>
      <c r="AH2" s="256"/>
      <c r="AI2" s="256"/>
      <c r="AJ2" s="256"/>
      <c r="AK2" s="256"/>
      <c r="AL2" s="256"/>
      <c r="AM2" s="256"/>
      <c r="AN2" s="257"/>
      <c r="AO2" s="257"/>
      <c r="AP2" s="257"/>
      <c r="AQ2" s="257"/>
      <c r="AR2" s="257"/>
      <c r="AS2" s="257"/>
      <c r="AT2" s="257">
        <v>2</v>
      </c>
      <c r="AU2" s="257" t="s">
        <v>48</v>
      </c>
      <c r="AV2" s="257"/>
      <c r="AW2" s="257"/>
      <c r="AX2" s="257"/>
      <c r="AY2" s="257"/>
      <c r="AZ2" s="257"/>
      <c r="BA2" s="257"/>
      <c r="BB2" s="257"/>
      <c r="BC2" s="257"/>
      <c r="BD2" s="257"/>
      <c r="BE2" s="21"/>
      <c r="BF2" s="23"/>
    </row>
    <row r="3" spans="1:58" ht="19.5" thickBot="1" x14ac:dyDescent="0.35">
      <c r="A3" s="258"/>
      <c r="B3" s="259"/>
      <c r="C3" s="260"/>
      <c r="D3" s="261" t="s">
        <v>21</v>
      </c>
      <c r="E3" s="499">
        <f>IF(Choice!H4="","",Choice!H4)</f>
        <v>43743</v>
      </c>
      <c r="F3" s="500"/>
      <c r="G3" s="500"/>
      <c r="H3" s="256"/>
      <c r="I3" s="256"/>
      <c r="J3" s="256"/>
      <c r="K3" s="256"/>
      <c r="L3" s="256"/>
      <c r="M3" s="256"/>
      <c r="N3" s="256"/>
      <c r="O3" s="262">
        <v>1</v>
      </c>
      <c r="P3" s="256"/>
      <c r="Q3" s="256"/>
      <c r="R3" s="256"/>
      <c r="S3" s="256"/>
      <c r="T3" s="256"/>
      <c r="U3" s="256"/>
      <c r="V3" s="256"/>
      <c r="W3" s="263"/>
      <c r="X3" s="259" t="s">
        <v>33</v>
      </c>
      <c r="Y3" s="72">
        <v>2</v>
      </c>
      <c r="Z3" s="263"/>
      <c r="AA3" s="259" t="s">
        <v>34</v>
      </c>
      <c r="AB3" s="45"/>
      <c r="AC3" s="263"/>
      <c r="AD3" s="259" t="s">
        <v>35</v>
      </c>
      <c r="AE3" s="45">
        <v>1</v>
      </c>
      <c r="AF3" s="256"/>
      <c r="AG3" s="256"/>
      <c r="AH3" s="256"/>
      <c r="AI3" s="256"/>
      <c r="AJ3" s="256"/>
      <c r="AK3" s="256"/>
      <c r="AL3" s="256"/>
      <c r="AM3" s="256"/>
      <c r="AN3" s="257"/>
      <c r="AO3" s="257"/>
      <c r="AP3" s="257">
        <f>AT4</f>
        <v>3</v>
      </c>
      <c r="AQ3" s="257" t="s">
        <v>39</v>
      </c>
      <c r="AR3" s="257"/>
      <c r="AS3" s="257"/>
      <c r="AT3" s="257">
        <v>3</v>
      </c>
      <c r="AU3" s="257" t="s">
        <v>102</v>
      </c>
      <c r="AV3" s="257"/>
      <c r="AW3" s="257"/>
      <c r="AX3" s="257"/>
      <c r="AY3" s="257"/>
      <c r="AZ3" s="257"/>
      <c r="BA3" s="257"/>
      <c r="BB3" s="257"/>
      <c r="BC3" s="257"/>
      <c r="BD3" s="257"/>
      <c r="BE3" s="21"/>
      <c r="BF3" s="23"/>
    </row>
    <row r="4" spans="1:58" ht="16.5" thickBot="1" x14ac:dyDescent="0.3">
      <c r="A4" s="258"/>
      <c r="B4" s="258"/>
      <c r="C4" s="259"/>
      <c r="D4" s="259"/>
      <c r="E4" s="260"/>
      <c r="F4" s="258"/>
      <c r="G4" s="258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64"/>
      <c r="AA4" s="265"/>
      <c r="AB4" s="256"/>
      <c r="AC4" s="26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7"/>
      <c r="AO4" s="257"/>
      <c r="AP4" s="257">
        <f>IF(AE3="","",AE3)</f>
        <v>1</v>
      </c>
      <c r="AQ4" s="257" t="s">
        <v>44</v>
      </c>
      <c r="AR4" s="257"/>
      <c r="AS4" s="257"/>
      <c r="AT4" s="52">
        <v>3</v>
      </c>
      <c r="AU4" s="257" t="str">
        <f>VLOOKUP(AT4,AT1:AU3,2,FALSE)</f>
        <v>Anti-Clockwise</v>
      </c>
      <c r="AV4" s="257"/>
      <c r="AW4" s="257"/>
      <c r="AX4" s="257"/>
      <c r="AY4" s="257"/>
      <c r="AZ4" s="257"/>
      <c r="BA4" s="257"/>
      <c r="BB4" s="257"/>
      <c r="BC4" s="257"/>
      <c r="BD4" s="257"/>
      <c r="BE4" s="21"/>
      <c r="BF4" s="23"/>
    </row>
    <row r="5" spans="1:58" ht="39.950000000000003" customHeight="1" thickBot="1" x14ac:dyDescent="0.3">
      <c r="A5" s="99" t="s">
        <v>36</v>
      </c>
      <c r="B5" s="267" t="s">
        <v>37</v>
      </c>
      <c r="C5" s="101" t="s">
        <v>3</v>
      </c>
      <c r="D5" s="102" t="s">
        <v>38</v>
      </c>
      <c r="E5" s="268">
        <v>1</v>
      </c>
      <c r="F5" s="269">
        <v>2</v>
      </c>
      <c r="G5" s="269">
        <v>3</v>
      </c>
      <c r="H5" s="269">
        <v>4</v>
      </c>
      <c r="I5" s="269">
        <v>5</v>
      </c>
      <c r="J5" s="269">
        <v>6</v>
      </c>
      <c r="K5" s="269">
        <v>7</v>
      </c>
      <c r="L5" s="269">
        <v>8</v>
      </c>
      <c r="M5" s="269">
        <v>9</v>
      </c>
      <c r="N5" s="269">
        <v>10</v>
      </c>
      <c r="O5" s="269">
        <v>11</v>
      </c>
      <c r="P5" s="269">
        <v>12</v>
      </c>
      <c r="Q5" s="269">
        <v>13</v>
      </c>
      <c r="R5" s="269">
        <v>14</v>
      </c>
      <c r="S5" s="269">
        <v>15</v>
      </c>
      <c r="T5" s="269">
        <v>16</v>
      </c>
      <c r="U5" s="269">
        <v>17</v>
      </c>
      <c r="V5" s="269">
        <v>18</v>
      </c>
      <c r="W5" s="269">
        <v>19</v>
      </c>
      <c r="X5" s="269">
        <v>20</v>
      </c>
      <c r="Y5" s="269">
        <v>21</v>
      </c>
      <c r="Z5" s="269">
        <v>22</v>
      </c>
      <c r="AA5" s="269">
        <v>23</v>
      </c>
      <c r="AB5" s="269">
        <v>24</v>
      </c>
      <c r="AC5" s="270">
        <v>25</v>
      </c>
      <c r="AD5" s="271" t="s">
        <v>4</v>
      </c>
      <c r="AE5" s="389" t="s">
        <v>23</v>
      </c>
      <c r="AF5" s="256"/>
      <c r="AG5" s="256"/>
      <c r="AH5" s="256"/>
      <c r="AI5" s="256"/>
      <c r="AJ5" s="256"/>
      <c r="AK5" s="256"/>
      <c r="AL5" s="256"/>
      <c r="AM5" s="256"/>
      <c r="AN5" s="257"/>
      <c r="AO5" s="257"/>
      <c r="AP5" s="257">
        <f>COUNTA(AP6:AP11)-COUNTIF(AP6:AP11,"")</f>
        <v>5</v>
      </c>
      <c r="AQ5" s="257" t="s">
        <v>43</v>
      </c>
      <c r="AR5" s="257">
        <f>IF(AP4="","",AP5/AP4)</f>
        <v>5</v>
      </c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1"/>
      <c r="BF5" s="23"/>
    </row>
    <row r="6" spans="1:58" ht="34.5" customHeight="1" x14ac:dyDescent="0.3">
      <c r="A6" s="272">
        <v>1</v>
      </c>
      <c r="B6" s="273">
        <f>IF(OR($C6="",$Y$3=""),"",IFERROR(VLOOKUP($Y$3&amp;$A6,Choice!$A$17:$K$217,11,FALSE),""))</f>
        <v>1</v>
      </c>
      <c r="C6" s="274" t="str">
        <f>IF($Y$3="","",IF($AP$3=2,BB6,AX6))</f>
        <v>Henderson Rob</v>
      </c>
      <c r="D6" s="275" t="str">
        <f>IF(OR($C6="",$Y$3=""),"",IFERROR(VLOOKUP($Y$3&amp;$A6,Choice!$A$17:$K$217,6,FALSE),""))</f>
        <v>S</v>
      </c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8"/>
      <c r="AD6" s="279"/>
      <c r="AE6" s="390"/>
      <c r="AF6" s="256"/>
      <c r="AG6" s="256"/>
      <c r="AH6" s="256"/>
      <c r="AI6" s="256"/>
      <c r="AJ6" s="256"/>
      <c r="AK6" s="256"/>
      <c r="AL6" s="256"/>
      <c r="AM6" s="256"/>
      <c r="AN6" s="257">
        <v>1</v>
      </c>
      <c r="AO6" s="257">
        <f>IF(AP6="","",1)</f>
        <v>1</v>
      </c>
      <c r="AP6" s="280" t="str">
        <f>IF($Y$3="","",IFERROR(VLOOKUP($Y$3&amp;AN6,Choice!$A$17:$K$217,5,FALSE),""))</f>
        <v>Henderson Rob</v>
      </c>
      <c r="AQ6" s="280" t="str">
        <f>IF(AP6="","",IF(Choice!$AC$22=1,"",IF(Choice!AD14="","",Choice!AD14)))</f>
        <v/>
      </c>
      <c r="AR6" s="280" t="str">
        <f>IF(AP6="","",IF(Choice!$AC$22=1,"",IF(Choice!AE14="","",Choice!AE14)))</f>
        <v/>
      </c>
      <c r="AS6" s="280">
        <v>1</v>
      </c>
      <c r="AT6" s="257" t="str">
        <f>IFERROR(VLOOKUP(SMALL($AO$6:$AO$11,1),$AO$6:$AP$11,2,FALSE),"")</f>
        <v>Henderson Rob</v>
      </c>
      <c r="AU6" s="257" t="str">
        <f>IF($AT6="","",VLOOKUP($AT6,$AP$6:$AR$11,2,FALSE))</f>
        <v/>
      </c>
      <c r="AV6" s="257" t="str">
        <f>IF($AT6="","",VLOOKUP($AT6,$AP$6:$AR$11,3,FALSE))</f>
        <v/>
      </c>
      <c r="AW6" s="257">
        <f>IF(AP4="","",IF(AR5&lt;0.5,AP4-AP5-AP5-1,IF(AR5&lt;1,AP4-AP5-1,AP4-1)))</f>
        <v>0</v>
      </c>
      <c r="AX6" s="257" t="str">
        <f t="shared" ref="AX6:AX11" si="0">IFERROR(VLOOKUP(AW6+1,$AS$6:$AT$11,2,FALSE),"")</f>
        <v>Henderson Rob</v>
      </c>
      <c r="AY6" s="257" t="str">
        <f>IF($AX6="","",VLOOKUP($AX6,$AP$6:$AX$11,2,FALSE))</f>
        <v/>
      </c>
      <c r="AZ6" s="257" t="str">
        <f>IF($AX6="","",VLOOKUP($AX6,$AP$6:$AR$11,3,FALSE))</f>
        <v/>
      </c>
      <c r="BA6" s="257">
        <f>IF(AW6="","",IF(AW6=0,0,$AP$5-AW6))</f>
        <v>0</v>
      </c>
      <c r="BB6" s="257" t="str">
        <f t="shared" ref="BB6:BB11" si="1">IF(BA6="","",VLOOKUP(BA6+1,$AS$6:$AT$11,2,FALSE))</f>
        <v>Henderson Rob</v>
      </c>
      <c r="BC6" s="257" t="str">
        <f>IF($BB6="","",VLOOKUP($BB6,$AP$6:$AX$11,2,FALSE))</f>
        <v/>
      </c>
      <c r="BD6" s="257" t="str">
        <f>IF($BB6="","",VLOOKUP($BB6,$AP$6:$AR$11,3,FALSE))</f>
        <v/>
      </c>
      <c r="BE6" s="21"/>
      <c r="BF6" s="23"/>
    </row>
    <row r="7" spans="1:58" ht="34.5" customHeight="1" x14ac:dyDescent="0.3">
      <c r="A7" s="281">
        <v>2</v>
      </c>
      <c r="B7" s="282">
        <f>IF(OR($C7="",$Y$3=""),"",IFERROR(VLOOKUP($Y$3&amp;$A7,Choice!$A$17:$K$217,11,FALSE),""))</f>
        <v>78</v>
      </c>
      <c r="C7" s="283" t="str">
        <f t="shared" ref="C7:C11" si="2">IF($Y$3="","",IF($AP$3=2,BB7,AX7))</f>
        <v>Grimmbacher Corne</v>
      </c>
      <c r="D7" s="284" t="str">
        <f>IF(OR($C7="",$Y$3=""),"",IFERROR(VLOOKUP($Y$3&amp;$A7,Choice!$A$17:$K$217,6,FALSE),""))</f>
        <v>L</v>
      </c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7"/>
      <c r="AD7" s="288"/>
      <c r="AE7" s="391"/>
      <c r="AF7" s="256"/>
      <c r="AG7" s="256"/>
      <c r="AH7" s="256"/>
      <c r="AI7" s="256"/>
      <c r="AJ7" s="256"/>
      <c r="AK7" s="256"/>
      <c r="AL7" s="256"/>
      <c r="AM7" s="256"/>
      <c r="AN7" s="257">
        <v>2</v>
      </c>
      <c r="AO7" s="257">
        <f>IF(AP7="","",2)</f>
        <v>2</v>
      </c>
      <c r="AP7" s="280" t="str">
        <f>IF($Y$3="","",IFERROR(VLOOKUP($Y$3&amp;AN7,Choice!$A$17:$K$217,5,FALSE),""))</f>
        <v>Grimmbacher Corne</v>
      </c>
      <c r="AQ7" s="280" t="str">
        <f>IF(AP7="","",IF(Choice!$AC$22=1,"",IF(Choice!AD15="","",Choice!AD15)))</f>
        <v/>
      </c>
      <c r="AR7" s="280" t="str">
        <f>IF(AP7="","",IF(Choice!$AC$22=1,"",IF(Choice!AE15="","",Choice!AE15)))</f>
        <v/>
      </c>
      <c r="AS7" s="280">
        <v>2</v>
      </c>
      <c r="AT7" s="257" t="str">
        <f>IFERROR(VLOOKUP(SMALL($AO$6:$AO$11,2),$AO$6:$AP$11,2,FALSE),"")</f>
        <v>Grimmbacher Corne</v>
      </c>
      <c r="AU7" s="257" t="str">
        <f t="shared" ref="AU7:AU11" si="3">IF($AT7="","",VLOOKUP($AT7,$AP$6:$AR$11,2,FALSE))</f>
        <v/>
      </c>
      <c r="AV7" s="257" t="str">
        <f t="shared" ref="AV7:AV11" si="4">IF($AT7="","",VLOOKUP($AT7,$AP$6:$AR$11,3,FALSE))</f>
        <v/>
      </c>
      <c r="AW7" s="257">
        <f>IF($AP$4="","",IF($AT7="","",IF(AW6+1=$AP$5,0,AW6+1)))</f>
        <v>1</v>
      </c>
      <c r="AX7" s="257" t="str">
        <f t="shared" si="0"/>
        <v>Grimmbacher Corne</v>
      </c>
      <c r="AY7" s="257" t="str">
        <f t="shared" ref="AY7:AY11" si="5">IF($AX7="","",VLOOKUP($AX7,$AP$6:$AX$11,2,FALSE))</f>
        <v/>
      </c>
      <c r="AZ7" s="257" t="str">
        <f t="shared" ref="AZ7:AZ11" si="6">IF($AX7="","",VLOOKUP($AX7,$AP$6:$AR$11,3,FALSE))</f>
        <v/>
      </c>
      <c r="BA7" s="257">
        <f>IF(AW7="","",IF(BA6+1=$AP$5,0,BA6+1))</f>
        <v>1</v>
      </c>
      <c r="BB7" s="257" t="str">
        <f t="shared" si="1"/>
        <v>Grimmbacher Corne</v>
      </c>
      <c r="BC7" s="257" t="str">
        <f t="shared" ref="BC7:BC11" si="7">IF($BB7="","",VLOOKUP($BB7,$AP$6:$AX$11,2,FALSE))</f>
        <v/>
      </c>
      <c r="BD7" s="257" t="str">
        <f t="shared" ref="BD7:BD11" si="8">IF($BB7="","",VLOOKUP($BB7,$AP$6:$AR$11,3,FALSE))</f>
        <v/>
      </c>
      <c r="BE7" s="21"/>
      <c r="BF7" s="23"/>
    </row>
    <row r="8" spans="1:58" ht="34.5" customHeight="1" x14ac:dyDescent="0.3">
      <c r="A8" s="281">
        <v>3</v>
      </c>
      <c r="B8" s="282">
        <f>IF(OR($C8="",$Y$3=""),"",IFERROR(VLOOKUP($Y$3&amp;$A8,Choice!$A$17:$K$217,11,FALSE),""))</f>
        <v>60</v>
      </c>
      <c r="C8" s="283" t="str">
        <f t="shared" si="2"/>
        <v>Smit Quinlan</v>
      </c>
      <c r="D8" s="284" t="str">
        <f>IF(OR($C8="",$Y$3=""),"",IFERROR(VLOOKUP($Y$3&amp;$A8,Choice!$A$17:$K$217,6,FALSE),""))</f>
        <v>S</v>
      </c>
      <c r="E8" s="28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7"/>
      <c r="AD8" s="288"/>
      <c r="AE8" s="391"/>
      <c r="AF8" s="256"/>
      <c r="AG8" s="256"/>
      <c r="AH8" s="256"/>
      <c r="AI8" s="256"/>
      <c r="AJ8" s="256"/>
      <c r="AK8" s="256"/>
      <c r="AL8" s="256"/>
      <c r="AM8" s="256"/>
      <c r="AN8" s="257">
        <v>3</v>
      </c>
      <c r="AO8" s="257">
        <f>IF(AP8="","",3)</f>
        <v>3</v>
      </c>
      <c r="AP8" s="280" t="str">
        <f>IF($Y$3="","",IFERROR(VLOOKUP($Y$3&amp;AN8,Choice!$A$17:$K$217,5,FALSE),""))</f>
        <v>Smit Quinlan</v>
      </c>
      <c r="AQ8" s="280" t="str">
        <f>IF(AP8="","",IF(Choice!$AC$22=1,"",IF(Choice!AD16="","",Choice!AD16)))</f>
        <v/>
      </c>
      <c r="AR8" s="280" t="str">
        <f>IF(AP8="","",IF(Choice!$AC$22=1,"",IF(Choice!AE16="","",Choice!AE16)))</f>
        <v/>
      </c>
      <c r="AS8" s="257">
        <v>3</v>
      </c>
      <c r="AT8" s="257" t="str">
        <f>IFERROR(VLOOKUP(SMALL($AO$6:$AO$11,3),$AO$6:$AP$11,2,FALSE),"")</f>
        <v>Smit Quinlan</v>
      </c>
      <c r="AU8" s="257" t="str">
        <f t="shared" si="3"/>
        <v/>
      </c>
      <c r="AV8" s="257" t="str">
        <f t="shared" si="4"/>
        <v/>
      </c>
      <c r="AW8" s="257">
        <f t="shared" ref="AW8:AW11" si="9">IF($AP$4="","",IF($AT8="","",IF(AW7+1=$AP$5,0,AW7+1)))</f>
        <v>2</v>
      </c>
      <c r="AX8" s="257" t="str">
        <f t="shared" si="0"/>
        <v>Smit Quinlan</v>
      </c>
      <c r="AY8" s="257" t="str">
        <f t="shared" si="5"/>
        <v/>
      </c>
      <c r="AZ8" s="257" t="str">
        <f t="shared" si="6"/>
        <v/>
      </c>
      <c r="BA8" s="257">
        <f t="shared" ref="BA8:BA11" si="10">IF(AW8="","",IF(BA7+1=$AP$5,0,BA7+1))</f>
        <v>2</v>
      </c>
      <c r="BB8" s="257" t="str">
        <f t="shared" si="1"/>
        <v>Smit Quinlan</v>
      </c>
      <c r="BC8" s="257" t="str">
        <f t="shared" si="7"/>
        <v/>
      </c>
      <c r="BD8" s="257" t="str">
        <f t="shared" si="8"/>
        <v/>
      </c>
      <c r="BE8" s="21"/>
      <c r="BF8" s="23"/>
    </row>
    <row r="9" spans="1:58" ht="34.5" customHeight="1" x14ac:dyDescent="0.3">
      <c r="A9" s="281">
        <v>4</v>
      </c>
      <c r="B9" s="282">
        <f>IF(OR($C9="",$Y$3=""),"",IFERROR(VLOOKUP($Y$3&amp;$A9,Choice!$A$17:$K$217,11,FALSE),""))</f>
        <v>50</v>
      </c>
      <c r="C9" s="283" t="str">
        <f t="shared" si="2"/>
        <v>Vermaak Coen</v>
      </c>
      <c r="D9" s="284" t="str">
        <f>IF(OR($C9="",$Y$3=""),"",IFERROR(VLOOKUP($Y$3&amp;$A9,Choice!$A$17:$K$217,6,FALSE),""))</f>
        <v>S</v>
      </c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7"/>
      <c r="AD9" s="288"/>
      <c r="AE9" s="391"/>
      <c r="AF9" s="256"/>
      <c r="AG9" s="256"/>
      <c r="AH9" s="256"/>
      <c r="AI9" s="256"/>
      <c r="AJ9" s="256"/>
      <c r="AK9" s="256"/>
      <c r="AL9" s="256"/>
      <c r="AM9" s="256"/>
      <c r="AN9" s="257">
        <v>4</v>
      </c>
      <c r="AO9" s="257">
        <f>IF(AP9="","",4)</f>
        <v>4</v>
      </c>
      <c r="AP9" s="280" t="str">
        <f>IF($Y$3="","",IFERROR(VLOOKUP($Y$3&amp;AN9,Choice!$A$17:$K$217,5,FALSE),""))</f>
        <v>Vermaak Coen</v>
      </c>
      <c r="AQ9" s="280" t="str">
        <f>IF(AP9="","",IF(Choice!$AC$22=1,"",IF(Choice!AD17="","",Choice!AD17)))</f>
        <v/>
      </c>
      <c r="AR9" s="280" t="str">
        <f>IF(AP9="","",IF(Choice!$AC$22=1,"",IF(Choice!AE17="","",Choice!AE17)))</f>
        <v/>
      </c>
      <c r="AS9" s="280">
        <v>4</v>
      </c>
      <c r="AT9" s="257" t="str">
        <f>IFERROR(VLOOKUP(SMALL($AO$6:$AO$11,4),$AO$6:$AP$11,2,FALSE),"")</f>
        <v>Vermaak Coen</v>
      </c>
      <c r="AU9" s="257" t="str">
        <f t="shared" si="3"/>
        <v/>
      </c>
      <c r="AV9" s="257" t="str">
        <f t="shared" si="4"/>
        <v/>
      </c>
      <c r="AW9" s="257">
        <f t="shared" si="9"/>
        <v>3</v>
      </c>
      <c r="AX9" s="257" t="str">
        <f t="shared" si="0"/>
        <v>Vermaak Coen</v>
      </c>
      <c r="AY9" s="257" t="str">
        <f t="shared" si="5"/>
        <v/>
      </c>
      <c r="AZ9" s="257" t="str">
        <f t="shared" si="6"/>
        <v/>
      </c>
      <c r="BA9" s="257">
        <f t="shared" si="10"/>
        <v>3</v>
      </c>
      <c r="BB9" s="257" t="str">
        <f t="shared" si="1"/>
        <v>Vermaak Coen</v>
      </c>
      <c r="BC9" s="257" t="str">
        <f t="shared" si="7"/>
        <v/>
      </c>
      <c r="BD9" s="257" t="str">
        <f t="shared" si="8"/>
        <v/>
      </c>
      <c r="BE9" s="21"/>
      <c r="BF9" s="23"/>
    </row>
    <row r="10" spans="1:58" ht="34.5" customHeight="1" x14ac:dyDescent="0.3">
      <c r="A10" s="281">
        <v>5</v>
      </c>
      <c r="B10" s="282">
        <f>IF(OR($C10="",$Y$3=""),"",IFERROR(VLOOKUP($Y$3&amp;$A10,Choice!$A$17:$K$217,11,FALSE),""))</f>
        <v>48</v>
      </c>
      <c r="C10" s="283" t="str">
        <f t="shared" si="2"/>
        <v>Vermaak Coen (Jnr)</v>
      </c>
      <c r="D10" s="284" t="str">
        <f>IF(OR($C10="",$Y$3=""),"",IFERROR(VLOOKUP($Y$3&amp;$A10,Choice!$A$17:$K$217,6,FALSE),""))</f>
        <v>J</v>
      </c>
      <c r="E10" s="285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7"/>
      <c r="AD10" s="288"/>
      <c r="AE10" s="391"/>
      <c r="AF10" s="256"/>
      <c r="AG10" s="256"/>
      <c r="AH10" s="256"/>
      <c r="AI10" s="256"/>
      <c r="AJ10" s="256"/>
      <c r="AK10" s="256"/>
      <c r="AL10" s="256"/>
      <c r="AM10" s="256"/>
      <c r="AN10" s="257">
        <v>5</v>
      </c>
      <c r="AO10" s="257">
        <f>IF(AP10="","",5)</f>
        <v>5</v>
      </c>
      <c r="AP10" s="280" t="str">
        <f>IF($Y$3="","",IFERROR(VLOOKUP($Y$3&amp;AN10,Choice!$A$17:$K$217,5,FALSE),""))</f>
        <v>Vermaak Coen (Jnr)</v>
      </c>
      <c r="AQ10" s="280" t="str">
        <f>IF(AP10="","",IF(Choice!$AC$22=1,"",IF(Choice!AD18="","",Choice!AD18)))</f>
        <v/>
      </c>
      <c r="AR10" s="280" t="str">
        <f>IF(AP10="","",IF(Choice!$AC$22=1,"",IF(Choice!AE18="","",Choice!AE18)))</f>
        <v/>
      </c>
      <c r="AS10" s="280">
        <v>5</v>
      </c>
      <c r="AT10" s="257" t="str">
        <f>IFERROR(VLOOKUP(SMALL($AO$6:$AO$11,5),$AO$6:$AP$11,2,FALSE),"")</f>
        <v>Vermaak Coen (Jnr)</v>
      </c>
      <c r="AU10" s="257" t="str">
        <f t="shared" si="3"/>
        <v/>
      </c>
      <c r="AV10" s="257" t="str">
        <f t="shared" si="4"/>
        <v/>
      </c>
      <c r="AW10" s="257">
        <f t="shared" si="9"/>
        <v>4</v>
      </c>
      <c r="AX10" s="257" t="str">
        <f t="shared" si="0"/>
        <v>Vermaak Coen (Jnr)</v>
      </c>
      <c r="AY10" s="257" t="str">
        <f t="shared" si="5"/>
        <v/>
      </c>
      <c r="AZ10" s="257" t="str">
        <f t="shared" si="6"/>
        <v/>
      </c>
      <c r="BA10" s="257">
        <f t="shared" si="10"/>
        <v>4</v>
      </c>
      <c r="BB10" s="257" t="str">
        <f t="shared" si="1"/>
        <v>Vermaak Coen (Jnr)</v>
      </c>
      <c r="BC10" s="257" t="str">
        <f t="shared" si="7"/>
        <v/>
      </c>
      <c r="BD10" s="257" t="str">
        <f t="shared" si="8"/>
        <v/>
      </c>
      <c r="BE10" s="21"/>
      <c r="BF10" s="23"/>
    </row>
    <row r="11" spans="1:58" ht="34.5" customHeight="1" thickBot="1" x14ac:dyDescent="0.35">
      <c r="A11" s="289">
        <v>6</v>
      </c>
      <c r="B11" s="290" t="str">
        <f>IF(OR($C11="",$Y$3=""),"",IFERROR(VLOOKUP($Y$3&amp;$A11,Choice!$A$17:$K$217,11,FALSE),""))</f>
        <v/>
      </c>
      <c r="C11" s="291" t="str">
        <f t="shared" si="2"/>
        <v/>
      </c>
      <c r="D11" s="292" t="str">
        <f>IF(OR($C11="",$Y$3=""),"",IFERROR(VLOOKUP($Y$3&amp;$A11,Choice!$A$17:$K$217,6,FALSE),""))</f>
        <v/>
      </c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  <c r="AD11" s="296"/>
      <c r="AE11" s="392"/>
      <c r="AF11" s="256"/>
      <c r="AG11" s="256"/>
      <c r="AH11" s="256"/>
      <c r="AI11" s="256"/>
      <c r="AJ11" s="256"/>
      <c r="AK11" s="256"/>
      <c r="AL11" s="256"/>
      <c r="AM11" s="256"/>
      <c r="AN11" s="257">
        <v>6</v>
      </c>
      <c r="AO11" s="257" t="str">
        <f>IF(AP11="","",6)</f>
        <v/>
      </c>
      <c r="AP11" s="280" t="str">
        <f>IF($Y$3="","",IFERROR(VLOOKUP($Y$3&amp;AN11,Choice!$A$17:$K$217,5,FALSE),""))</f>
        <v/>
      </c>
      <c r="AQ11" s="280" t="str">
        <f>IF(AP11="","",IF(Choice!$AC$22=1,"",IF(Choice!AD19="","",Choice!AD19)))</f>
        <v/>
      </c>
      <c r="AR11" s="280" t="str">
        <f>IF(AP11="","",IF(Choice!$AC$22=1,"",IF(Choice!AE19="","",Choice!AE19)))</f>
        <v/>
      </c>
      <c r="AS11" s="257">
        <v>6</v>
      </c>
      <c r="AT11" s="257" t="str">
        <f>IFERROR(VLOOKUP(SMALL($AO$6:$AO$11,6),$AO$6:$AP$11,2,FALSE),"")</f>
        <v/>
      </c>
      <c r="AU11" s="257" t="str">
        <f t="shared" si="3"/>
        <v/>
      </c>
      <c r="AV11" s="257" t="str">
        <f t="shared" si="4"/>
        <v/>
      </c>
      <c r="AW11" s="257" t="str">
        <f t="shared" si="9"/>
        <v/>
      </c>
      <c r="AX11" s="257" t="str">
        <f t="shared" si="0"/>
        <v/>
      </c>
      <c r="AY11" s="257" t="str">
        <f t="shared" si="5"/>
        <v/>
      </c>
      <c r="AZ11" s="257" t="str">
        <f t="shared" si="6"/>
        <v/>
      </c>
      <c r="BA11" s="257" t="str">
        <f t="shared" si="10"/>
        <v/>
      </c>
      <c r="BB11" s="257" t="str">
        <f t="shared" si="1"/>
        <v/>
      </c>
      <c r="BC11" s="257" t="str">
        <f t="shared" si="7"/>
        <v/>
      </c>
      <c r="BD11" s="257" t="str">
        <f t="shared" si="8"/>
        <v/>
      </c>
      <c r="BE11" s="21"/>
      <c r="BF11" s="23"/>
    </row>
    <row r="12" spans="1:58" ht="24" customHeight="1" thickBot="1" x14ac:dyDescent="0.3">
      <c r="A12" s="258"/>
      <c r="B12" s="258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65" t="s">
        <v>5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7"/>
      <c r="AO12" s="257"/>
      <c r="AP12" s="257" t="s">
        <v>45</v>
      </c>
      <c r="AQ12" s="217" t="s">
        <v>38</v>
      </c>
      <c r="AR12" s="217" t="s">
        <v>37</v>
      </c>
      <c r="AS12" s="257"/>
      <c r="AT12" s="257" t="s">
        <v>46</v>
      </c>
      <c r="AU12" s="217" t="s">
        <v>38</v>
      </c>
      <c r="AV12" s="217" t="s">
        <v>37</v>
      </c>
      <c r="AW12" s="257"/>
      <c r="AX12" s="257" t="s">
        <v>47</v>
      </c>
      <c r="AY12" s="217" t="s">
        <v>38</v>
      </c>
      <c r="AZ12" s="217" t="s">
        <v>37</v>
      </c>
      <c r="BA12" s="257"/>
      <c r="BB12" s="257" t="s">
        <v>48</v>
      </c>
      <c r="BC12" s="217" t="s">
        <v>38</v>
      </c>
      <c r="BD12" s="217" t="s">
        <v>37</v>
      </c>
      <c r="BE12" s="21"/>
      <c r="BF12" s="23"/>
    </row>
    <row r="13" spans="1:58" ht="21" thickBot="1" x14ac:dyDescent="0.35">
      <c r="A13" s="258"/>
      <c r="B13" s="258"/>
      <c r="C13" s="259" t="s">
        <v>6</v>
      </c>
      <c r="D13" s="297"/>
      <c r="E13" s="298"/>
      <c r="F13" s="298"/>
      <c r="G13" s="298"/>
      <c r="H13" s="298"/>
      <c r="I13" s="298"/>
      <c r="J13" s="298"/>
      <c r="K13" s="298"/>
      <c r="L13" s="256"/>
      <c r="M13" s="256"/>
      <c r="N13" s="299" t="s">
        <v>7</v>
      </c>
      <c r="O13" s="300"/>
      <c r="P13" s="256"/>
      <c r="Q13" s="256"/>
      <c r="R13" s="299" t="s">
        <v>8</v>
      </c>
      <c r="S13" s="300"/>
      <c r="T13" s="299"/>
      <c r="U13" s="299"/>
      <c r="V13" s="299"/>
      <c r="W13" s="299"/>
      <c r="X13" s="256"/>
      <c r="Y13" s="256"/>
      <c r="Z13" s="259" t="s">
        <v>9</v>
      </c>
      <c r="AA13" s="298"/>
      <c r="AB13" s="298"/>
      <c r="AC13" s="298"/>
      <c r="AD13" s="298"/>
      <c r="AE13" s="298"/>
      <c r="AF13" s="118"/>
      <c r="AG13" s="118"/>
      <c r="AH13" s="118"/>
      <c r="AI13" s="118"/>
      <c r="AJ13" s="118"/>
      <c r="AK13" s="118"/>
      <c r="AL13" s="256"/>
      <c r="AM13" s="256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1"/>
      <c r="BF13" s="23"/>
    </row>
    <row r="14" spans="1:58" x14ac:dyDescent="0.25">
      <c r="A14" s="256"/>
      <c r="B14" s="256"/>
      <c r="C14" s="256"/>
      <c r="D14" s="256"/>
      <c r="E14" s="26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1"/>
      <c r="BF14" s="23"/>
    </row>
    <row r="15" spans="1:58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1"/>
      <c r="BF15" s="23"/>
    </row>
    <row r="16" spans="1:58" x14ac:dyDescent="0.25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2"/>
      <c r="BB16" s="252"/>
      <c r="BC16" s="252"/>
      <c r="BD16" s="252"/>
      <c r="BE16" s="51"/>
      <c r="BF16" s="23"/>
    </row>
    <row r="17" spans="1:58" ht="39.950000000000003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256"/>
      <c r="AG17" s="256"/>
      <c r="AH17" s="256"/>
      <c r="AI17" s="256"/>
      <c r="AJ17" s="256"/>
      <c r="AK17" s="256"/>
      <c r="AL17" s="257"/>
      <c r="AM17" s="257"/>
      <c r="AN17" s="256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2"/>
      <c r="BB17" s="252"/>
      <c r="BC17" s="252"/>
      <c r="BD17" s="252"/>
      <c r="BE17" s="51"/>
      <c r="BF17" s="23"/>
    </row>
    <row r="18" spans="1:58" ht="39.950000000000003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256"/>
      <c r="AG18" s="256"/>
      <c r="AH18" s="256"/>
      <c r="AI18" s="256"/>
      <c r="AJ18" s="256"/>
      <c r="AK18" s="256"/>
      <c r="AL18" s="257"/>
      <c r="AM18" s="257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301"/>
      <c r="BB18" s="301"/>
      <c r="BC18" s="301"/>
      <c r="BD18" s="301"/>
      <c r="BE18" s="19"/>
      <c r="BF18" s="23"/>
    </row>
    <row r="19" spans="1:58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20"/>
      <c r="AG19" s="20"/>
      <c r="AH19" s="20"/>
      <c r="AI19" s="20"/>
      <c r="AJ19" s="20"/>
      <c r="AK19" s="20"/>
      <c r="AL19" s="21"/>
      <c r="AM19" s="21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19"/>
      <c r="BB19" s="19"/>
      <c r="BC19" s="19"/>
      <c r="BD19" s="19"/>
      <c r="BE19" s="19"/>
      <c r="BF19" s="23"/>
    </row>
    <row r="20" spans="1:58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20"/>
      <c r="AG20" s="20"/>
      <c r="AH20" s="20"/>
      <c r="AI20" s="20"/>
      <c r="AJ20" s="20"/>
      <c r="AK20" s="20"/>
      <c r="AL20" s="21"/>
      <c r="AM20" s="21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19"/>
      <c r="BB20" s="19"/>
      <c r="BC20" s="19"/>
      <c r="BD20" s="19"/>
      <c r="BE20" s="19"/>
      <c r="BF20" s="23"/>
    </row>
    <row r="21" spans="1:58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20"/>
      <c r="AG21" s="20"/>
      <c r="AH21" s="20"/>
      <c r="AI21" s="20"/>
      <c r="AJ21" s="20"/>
      <c r="AK21" s="20"/>
      <c r="AL21" s="21"/>
      <c r="AM21" s="21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19"/>
      <c r="BB21" s="19"/>
      <c r="BC21" s="19"/>
      <c r="BD21" s="19"/>
      <c r="BE21" s="19"/>
      <c r="BF21" s="23"/>
    </row>
    <row r="22" spans="1:58" ht="16.149999999999999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N22" s="19"/>
      <c r="AO22" s="19"/>
      <c r="AP22" s="19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ht="24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N23" s="19"/>
      <c r="AO23" s="19"/>
      <c r="AP23" s="19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N24" s="19"/>
      <c r="AO24" s="19"/>
      <c r="AP24" s="19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  <c r="AF25"/>
      <c r="AG25"/>
      <c r="AH25"/>
      <c r="AI25"/>
      <c r="AJ25"/>
      <c r="AN25" s="19"/>
      <c r="AO25" s="19"/>
      <c r="AP25" s="19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N26" s="19"/>
      <c r="AO26" s="19"/>
      <c r="AP26" s="19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</row>
    <row r="27" spans="1:58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N27" s="19"/>
      <c r="AO27" s="19"/>
      <c r="AP27" s="19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</row>
  </sheetData>
  <sheetProtection algorithmName="SHA-512" hashValue="mi1sZXiprQvqRSF5uRkEiDJCwB+AAI0e7A4onRlG9kxJupEd0l1eyaA11mSdWl7vfNRxhLMVTNZgagbANSRk5Q==" saltValue="QmtjzZPSl/n7QVmbKkb6Ng==" spinCount="100000" sheet="1" objects="1" scenarios="1" selectLockedCells="1"/>
  <mergeCells count="1">
    <mergeCell ref="E3:G3"/>
  </mergeCells>
  <conditionalFormatting sqref="Z4">
    <cfRule type="cellIs" dxfId="4" priority="1" stopIfTrue="1" operator="equal">
      <formula>0</formula>
    </cfRule>
  </conditionalFormatting>
  <printOptions horizontalCentered="1" verticalCentered="1"/>
  <pageMargins left="0.37" right="0.69" top="0.6" bottom="0.69" header="0.51181102362204722" footer="0.51181102362204722"/>
  <pageSetup paperSize="9" scale="66" orientation="landscape" horizontalDpi="300" verticalDpi="300" r:id="rId1"/>
  <headerFooter alignWithMargins="0">
    <oddHeader>&amp;C&amp;"Arial,Bold"&amp;24Universal Trench</oddHeader>
    <oddFooter>&amp;LCopyright: All rights reserved&amp;CB F Black (082 517 5710)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Drop Down 1">
              <controlPr defaultSize="0" print="0" autoLine="0" autoPict="0">
                <anchor moveWithCells="1">
                  <from>
                    <xdr:col>14</xdr:col>
                    <xdr:colOff>9525</xdr:colOff>
                    <xdr:row>0</xdr:row>
                    <xdr:rowOff>57150</xdr:rowOff>
                  </from>
                  <to>
                    <xdr:col>18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BF27"/>
  <sheetViews>
    <sheetView showGridLines="0" showZeros="0" zoomScale="85" zoomScaleNormal="85" workbookViewId="0">
      <selection activeCell="AE3" sqref="AE3"/>
    </sheetView>
  </sheetViews>
  <sheetFormatPr defaultColWidth="10.28515625" defaultRowHeight="15.75" x14ac:dyDescent="0.25"/>
  <cols>
    <col min="1" max="1" width="5.28515625" style="1" customWidth="1"/>
    <col min="2" max="2" width="6.28515625" style="1" customWidth="1"/>
    <col min="3" max="3" width="28.140625" style="1" customWidth="1"/>
    <col min="4" max="4" width="4.7109375" style="1" customWidth="1"/>
    <col min="5" max="25" width="5.85546875" style="1" customWidth="1"/>
    <col min="26" max="26" width="5.28515625" style="1" customWidth="1"/>
    <col min="27" max="27" width="6.42578125" style="1" customWidth="1"/>
    <col min="28" max="29" width="5.85546875" style="1" customWidth="1"/>
    <col min="30" max="30" width="9.85546875" style="1" customWidth="1"/>
    <col min="31" max="31" width="8.42578125" style="1" customWidth="1"/>
    <col min="32" max="35" width="4" style="1" customWidth="1"/>
    <col min="36" max="36" width="4" style="2" customWidth="1"/>
    <col min="37" max="39" width="5.28515625" customWidth="1"/>
    <col min="40" max="41" width="10.140625"/>
    <col min="42" max="42" width="24.42578125" customWidth="1"/>
    <col min="43" max="43" width="10.140625" style="1"/>
    <col min="44" max="44" width="12.5703125" style="1" customWidth="1"/>
    <col min="45" max="45" width="10.140625" style="1"/>
    <col min="46" max="46" width="23.7109375" style="1" customWidth="1"/>
    <col min="47" max="47" width="10.140625" style="1"/>
    <col min="48" max="48" width="10.28515625" style="1"/>
    <col min="49" max="49" width="20.7109375" style="1" customWidth="1"/>
    <col min="50" max="16384" width="10.28515625" style="1"/>
  </cols>
  <sheetData>
    <row r="1" spans="1:58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78" t="s">
        <v>103</v>
      </c>
      <c r="O1" s="251" t="str">
        <f>AU4</f>
        <v>Anti-Clockwise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492"/>
      <c r="AH1" s="492"/>
      <c r="AI1" s="492"/>
      <c r="AJ1" s="493"/>
      <c r="AK1" s="494"/>
      <c r="AL1" s="494"/>
      <c r="AM1" s="494"/>
      <c r="AN1" s="252"/>
      <c r="AO1" s="252"/>
      <c r="AP1" s="252"/>
      <c r="AQ1" s="217"/>
      <c r="AR1" s="217"/>
      <c r="AS1" s="217"/>
      <c r="AT1" s="217">
        <v>1</v>
      </c>
      <c r="AU1" s="217" t="s">
        <v>101</v>
      </c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263"/>
    </row>
    <row r="2" spans="1:58" ht="30" x14ac:dyDescent="0.4">
      <c r="A2" s="87"/>
      <c r="B2" s="87"/>
      <c r="C2" s="253"/>
      <c r="D2" s="87"/>
      <c r="E2" s="87"/>
      <c r="F2" s="87"/>
      <c r="G2" s="87"/>
      <c r="H2" s="87"/>
      <c r="I2" s="87"/>
      <c r="J2" s="254"/>
      <c r="K2" s="255"/>
      <c r="L2" s="255"/>
      <c r="M2" s="255"/>
      <c r="N2" s="255"/>
      <c r="O2" s="255"/>
      <c r="P2" s="255"/>
      <c r="Q2" s="255"/>
      <c r="R2" s="87"/>
      <c r="S2" s="87"/>
      <c r="T2" s="87"/>
      <c r="U2" s="87"/>
      <c r="V2" s="87"/>
      <c r="W2" s="87"/>
      <c r="X2" s="87"/>
      <c r="Y2" s="87"/>
      <c r="Z2" s="125"/>
      <c r="AA2" s="87"/>
      <c r="AB2" s="87"/>
      <c r="AC2" s="87"/>
      <c r="AD2" s="87"/>
      <c r="AE2" s="87"/>
      <c r="AF2" s="256"/>
      <c r="AG2" s="495"/>
      <c r="AH2" s="495"/>
      <c r="AI2" s="495"/>
      <c r="AJ2" s="495"/>
      <c r="AK2" s="495"/>
      <c r="AL2" s="495"/>
      <c r="AM2" s="495"/>
      <c r="AN2" s="257"/>
      <c r="AO2" s="257"/>
      <c r="AP2" s="257"/>
      <c r="AQ2" s="257"/>
      <c r="AR2" s="257"/>
      <c r="AS2" s="257"/>
      <c r="AT2" s="257">
        <v>2</v>
      </c>
      <c r="AU2" s="257" t="s">
        <v>48</v>
      </c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63"/>
    </row>
    <row r="3" spans="1:58" ht="19.5" thickBot="1" x14ac:dyDescent="0.35">
      <c r="A3" s="258"/>
      <c r="B3" s="259"/>
      <c r="C3" s="260"/>
      <c r="D3" s="261" t="s">
        <v>21</v>
      </c>
      <c r="E3" s="499">
        <f>IF(Choice!H4="","",Choice!H4)</f>
        <v>43743</v>
      </c>
      <c r="F3" s="500"/>
      <c r="G3" s="500"/>
      <c r="H3" s="256"/>
      <c r="I3" s="256"/>
      <c r="J3" s="256"/>
      <c r="K3" s="256"/>
      <c r="L3" s="256"/>
      <c r="M3" s="256"/>
      <c r="N3" s="256"/>
      <c r="O3" s="262">
        <v>1</v>
      </c>
      <c r="P3" s="256"/>
      <c r="Q3" s="256"/>
      <c r="R3" s="256"/>
      <c r="S3" s="256"/>
      <c r="T3" s="256"/>
      <c r="U3" s="256"/>
      <c r="V3" s="256"/>
      <c r="W3" s="263"/>
      <c r="X3" s="259" t="s">
        <v>33</v>
      </c>
      <c r="Y3" s="72">
        <v>2</v>
      </c>
      <c r="Z3" s="263"/>
      <c r="AA3" s="259" t="s">
        <v>34</v>
      </c>
      <c r="AB3" s="45"/>
      <c r="AC3" s="263"/>
      <c r="AD3" s="259" t="s">
        <v>35</v>
      </c>
      <c r="AE3" s="45">
        <v>1</v>
      </c>
      <c r="AF3" s="256"/>
      <c r="AG3" s="495"/>
      <c r="AH3" s="495"/>
      <c r="AI3" s="495"/>
      <c r="AJ3" s="495"/>
      <c r="AK3" s="495"/>
      <c r="AL3" s="495"/>
      <c r="AM3" s="495"/>
      <c r="AN3" s="257"/>
      <c r="AO3" s="257"/>
      <c r="AP3" s="257">
        <f>AT4</f>
        <v>3</v>
      </c>
      <c r="AQ3" s="257" t="s">
        <v>39</v>
      </c>
      <c r="AR3" s="257"/>
      <c r="AS3" s="257"/>
      <c r="AT3" s="257">
        <v>3</v>
      </c>
      <c r="AU3" s="257" t="s">
        <v>102</v>
      </c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63"/>
    </row>
    <row r="4" spans="1:58" ht="16.5" thickBot="1" x14ac:dyDescent="0.3">
      <c r="A4" s="258"/>
      <c r="B4" s="258"/>
      <c r="C4" s="259"/>
      <c r="D4" s="259"/>
      <c r="E4" s="260"/>
      <c r="F4" s="258"/>
      <c r="G4" s="258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64"/>
      <c r="AA4" s="265"/>
      <c r="AB4" s="256"/>
      <c r="AC4" s="266"/>
      <c r="AD4" s="256"/>
      <c r="AE4" s="256"/>
      <c r="AF4" s="256"/>
      <c r="AG4" s="495"/>
      <c r="AH4" s="495"/>
      <c r="AI4" s="495"/>
      <c r="AJ4" s="495"/>
      <c r="AK4" s="495"/>
      <c r="AL4" s="495"/>
      <c r="AM4" s="495"/>
      <c r="AN4" s="257"/>
      <c r="AO4" s="257"/>
      <c r="AP4" s="257">
        <f>IF(AE3="","",AE3)</f>
        <v>1</v>
      </c>
      <c r="AQ4" s="257" t="s">
        <v>44</v>
      </c>
      <c r="AR4" s="257"/>
      <c r="AS4" s="257"/>
      <c r="AT4" s="52">
        <v>3</v>
      </c>
      <c r="AU4" s="257" t="str">
        <f>VLOOKUP(AT4,AT1:AU3,2,FALSE)</f>
        <v>Anti-Clockwise</v>
      </c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263"/>
    </row>
    <row r="5" spans="1:58" ht="39.950000000000003" customHeight="1" thickBot="1" x14ac:dyDescent="0.3">
      <c r="A5" s="99" t="s">
        <v>36</v>
      </c>
      <c r="B5" s="267" t="s">
        <v>37</v>
      </c>
      <c r="C5" s="101" t="s">
        <v>3</v>
      </c>
      <c r="D5" s="102" t="s">
        <v>38</v>
      </c>
      <c r="E5" s="268">
        <v>1</v>
      </c>
      <c r="F5" s="269">
        <v>2</v>
      </c>
      <c r="G5" s="269">
        <v>3</v>
      </c>
      <c r="H5" s="269">
        <v>4</v>
      </c>
      <c r="I5" s="269">
        <v>5</v>
      </c>
      <c r="J5" s="269">
        <v>6</v>
      </c>
      <c r="K5" s="269">
        <v>7</v>
      </c>
      <c r="L5" s="269">
        <v>8</v>
      </c>
      <c r="M5" s="269">
        <v>9</v>
      </c>
      <c r="N5" s="269">
        <v>10</v>
      </c>
      <c r="O5" s="269">
        <v>11</v>
      </c>
      <c r="P5" s="269">
        <v>12</v>
      </c>
      <c r="Q5" s="269">
        <v>13</v>
      </c>
      <c r="R5" s="269">
        <v>14</v>
      </c>
      <c r="S5" s="269">
        <v>15</v>
      </c>
      <c r="T5" s="269">
        <v>16</v>
      </c>
      <c r="U5" s="269">
        <v>17</v>
      </c>
      <c r="V5" s="269">
        <v>18</v>
      </c>
      <c r="W5" s="269">
        <v>19</v>
      </c>
      <c r="X5" s="269">
        <v>20</v>
      </c>
      <c r="Y5" s="269">
        <v>21</v>
      </c>
      <c r="Z5" s="269">
        <v>22</v>
      </c>
      <c r="AA5" s="269">
        <v>23</v>
      </c>
      <c r="AB5" s="269">
        <v>24</v>
      </c>
      <c r="AC5" s="270">
        <v>25</v>
      </c>
      <c r="AD5" s="271" t="s">
        <v>4</v>
      </c>
      <c r="AE5" s="389" t="s">
        <v>23</v>
      </c>
      <c r="AF5" s="256"/>
      <c r="AG5" s="495"/>
      <c r="AH5" s="495"/>
      <c r="AI5" s="495"/>
      <c r="AJ5" s="495"/>
      <c r="AK5" s="495"/>
      <c r="AL5" s="495"/>
      <c r="AM5" s="495"/>
      <c r="AN5" s="257"/>
      <c r="AO5" s="257"/>
      <c r="AP5" s="257">
        <f>COUNTA(AP6:AP11)-COUNTIF(AP6:AP11,"")</f>
        <v>5</v>
      </c>
      <c r="AQ5" s="257" t="s">
        <v>43</v>
      </c>
      <c r="AR5" s="257">
        <f>IF(AP4="","",AP5/AP4)</f>
        <v>5</v>
      </c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263"/>
    </row>
    <row r="6" spans="1:58" ht="34.5" customHeight="1" x14ac:dyDescent="0.3">
      <c r="A6" s="272">
        <v>1</v>
      </c>
      <c r="B6" s="273">
        <f>IF(OR($C6="",$Y$3=""),"",IFERROR(VLOOKUP($Y$3&amp;$A6,Choice!$A$17:$K$217,11,FALSE),""))</f>
        <v>1</v>
      </c>
      <c r="C6" s="274" t="str">
        <f>IF($Y$3="","",IF($AP$3=2,BB6,AX6))</f>
        <v>Henderson Rob</v>
      </c>
      <c r="D6" s="275" t="str">
        <f>IF(OR($C6="",$Y$3=""),"",IFERROR(VLOOKUP($Y$3&amp;$A6,Choice!$A$17:$K$217,6,FALSE),""))</f>
        <v>S</v>
      </c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8"/>
      <c r="AD6" s="279"/>
      <c r="AE6" s="390"/>
      <c r="AF6" s="256"/>
      <c r="AG6" s="495"/>
      <c r="AH6" s="495"/>
      <c r="AI6" s="495"/>
      <c r="AJ6" s="495"/>
      <c r="AK6" s="495"/>
      <c r="AL6" s="495"/>
      <c r="AM6" s="495"/>
      <c r="AN6" s="257">
        <v>1</v>
      </c>
      <c r="AO6" s="257">
        <f>IF(AP6="","",1)</f>
        <v>1</v>
      </c>
      <c r="AP6" s="280" t="str">
        <f>IF($Y$3="","",IFERROR(VLOOKUP($Y$3&amp;AN6,Choice!$A$17:$K$217,5,FALSE),""))</f>
        <v>Henderson Rob</v>
      </c>
      <c r="AQ6" s="280" t="str">
        <f>IF(AP6="","",IF(Choice!$AC$22=1,"",IF(Choice!AD14="","",Choice!AD14)))</f>
        <v/>
      </c>
      <c r="AR6" s="280" t="str">
        <f>IF(AP6="","",IF(Choice!$AC$22=1,"",IF(Choice!AE14="","",Choice!AE14)))</f>
        <v/>
      </c>
      <c r="AS6" s="280">
        <v>1</v>
      </c>
      <c r="AT6" s="257" t="str">
        <f>IFERROR(VLOOKUP(SMALL($AO$6:$AO$11,1),$AO$6:$AP$11,2,FALSE),"")</f>
        <v>Henderson Rob</v>
      </c>
      <c r="AU6" s="257" t="str">
        <f>IF($AT6="","",VLOOKUP($AT6,$AP$6:$AR$11,2,FALSE))</f>
        <v/>
      </c>
      <c r="AV6" s="257" t="str">
        <f>IF($AT6="","",VLOOKUP($AT6,$AP$6:$AR$11,3,FALSE))</f>
        <v/>
      </c>
      <c r="AW6" s="257">
        <f>IF(AP4="","",IF(AR5&lt;0.5,AP4-AP5-AP5-1,IF(AR5&lt;1,AP4-AP5-1,AP4-1)))</f>
        <v>0</v>
      </c>
      <c r="AX6" s="257" t="str">
        <f t="shared" ref="AX6:AX11" si="0">IFERROR(VLOOKUP(AW6+1,$AS$6:$AT$11,2,FALSE),"")</f>
        <v>Henderson Rob</v>
      </c>
      <c r="AY6" s="257" t="str">
        <f>IF($AX6="","",VLOOKUP($AX6,$AP$6:$AX$11,2,FALSE))</f>
        <v/>
      </c>
      <c r="AZ6" s="257" t="str">
        <f>IF($AX6="","",VLOOKUP($AX6,$AP$6:$AR$11,3,FALSE))</f>
        <v/>
      </c>
      <c r="BA6" s="257">
        <f>IF(AW6="","",IF(AW6=0,0,$AP$5-AW6))</f>
        <v>0</v>
      </c>
      <c r="BB6" s="257" t="str">
        <f t="shared" ref="BB6:BB11" si="1">IF(BA6="","",VLOOKUP(BA6+1,$AS$6:$AT$11,2,FALSE))</f>
        <v>Henderson Rob</v>
      </c>
      <c r="BC6" s="257" t="str">
        <f>IF($BB6="","",VLOOKUP($BB6,$AP$6:$AX$11,2,FALSE))</f>
        <v/>
      </c>
      <c r="BD6" s="257" t="str">
        <f>IF($BB6="","",VLOOKUP($BB6,$AP$6:$AR$11,3,FALSE))</f>
        <v/>
      </c>
      <c r="BE6" s="257"/>
      <c r="BF6" s="263"/>
    </row>
    <row r="7" spans="1:58" ht="34.5" customHeight="1" x14ac:dyDescent="0.3">
      <c r="A7" s="281">
        <v>2</v>
      </c>
      <c r="B7" s="282">
        <f>IF(OR($C7="",$Y$3=""),"",IFERROR(VLOOKUP($Y$3&amp;$A7,Choice!$A$17:$K$217,11,FALSE),""))</f>
        <v>78</v>
      </c>
      <c r="C7" s="283" t="str">
        <f t="shared" ref="C7:C11" si="2">IF($Y$3="","",IF($AP$3=2,BB7,AX7))</f>
        <v>Grimmbacher Corne</v>
      </c>
      <c r="D7" s="284" t="str">
        <f>IF(OR($C7="",$Y$3=""),"",IFERROR(VLOOKUP($Y$3&amp;$A7,Choice!$A$17:$K$217,6,FALSE),""))</f>
        <v>L</v>
      </c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7"/>
      <c r="AD7" s="288"/>
      <c r="AE7" s="391"/>
      <c r="AF7" s="256"/>
      <c r="AG7" s="495"/>
      <c r="AH7" s="495"/>
      <c r="AI7" s="495"/>
      <c r="AJ7" s="495"/>
      <c r="AK7" s="495"/>
      <c r="AL7" s="495"/>
      <c r="AM7" s="495"/>
      <c r="AN7" s="257">
        <v>2</v>
      </c>
      <c r="AO7" s="257">
        <f>IF(AP7="","",2)</f>
        <v>2</v>
      </c>
      <c r="AP7" s="280" t="str">
        <f>IF($Y$3="","",IFERROR(VLOOKUP($Y$3&amp;AN7,Choice!$A$17:$K$217,5,FALSE),""))</f>
        <v>Grimmbacher Corne</v>
      </c>
      <c r="AQ7" s="280" t="str">
        <f>IF(AP7="","",IF(Choice!$AC$22=1,"",IF(Choice!AD15="","",Choice!AD15)))</f>
        <v/>
      </c>
      <c r="AR7" s="280" t="str">
        <f>IF(AP7="","",IF(Choice!$AC$22=1,"",IF(Choice!AE15="","",Choice!AE15)))</f>
        <v/>
      </c>
      <c r="AS7" s="280">
        <v>2</v>
      </c>
      <c r="AT7" s="257" t="str">
        <f>IFERROR(VLOOKUP(SMALL($AO$6:$AO$11,2),$AO$6:$AP$11,2,FALSE),"")</f>
        <v>Grimmbacher Corne</v>
      </c>
      <c r="AU7" s="257" t="str">
        <f t="shared" ref="AU7:AU11" si="3">IF($AT7="","",VLOOKUP($AT7,$AP$6:$AR$11,2,FALSE))</f>
        <v/>
      </c>
      <c r="AV7" s="257" t="str">
        <f t="shared" ref="AV7:AV11" si="4">IF($AT7="","",VLOOKUP($AT7,$AP$6:$AR$11,3,FALSE))</f>
        <v/>
      </c>
      <c r="AW7" s="257">
        <f>IF($AP$4="","",IF($AT7="","",IF(AW6+1=$AP$5,0,AW6+1)))</f>
        <v>1</v>
      </c>
      <c r="AX7" s="257" t="str">
        <f t="shared" si="0"/>
        <v>Grimmbacher Corne</v>
      </c>
      <c r="AY7" s="257" t="str">
        <f t="shared" ref="AY7:AY11" si="5">IF($AX7="","",VLOOKUP($AX7,$AP$6:$AX$11,2,FALSE))</f>
        <v/>
      </c>
      <c r="AZ7" s="257" t="str">
        <f t="shared" ref="AZ7:AZ11" si="6">IF($AX7="","",VLOOKUP($AX7,$AP$6:$AR$11,3,FALSE))</f>
        <v/>
      </c>
      <c r="BA7" s="257">
        <f>IF(AW7="","",IF(BA6+1=$AP$5,0,BA6+1))</f>
        <v>1</v>
      </c>
      <c r="BB7" s="257" t="str">
        <f t="shared" si="1"/>
        <v>Grimmbacher Corne</v>
      </c>
      <c r="BC7" s="257" t="str">
        <f t="shared" ref="BC7:BC11" si="7">IF($BB7="","",VLOOKUP($BB7,$AP$6:$AX$11,2,FALSE))</f>
        <v/>
      </c>
      <c r="BD7" s="257" t="str">
        <f t="shared" ref="BD7:BD11" si="8">IF($BB7="","",VLOOKUP($BB7,$AP$6:$AR$11,3,FALSE))</f>
        <v/>
      </c>
      <c r="BE7" s="257"/>
      <c r="BF7" s="263"/>
    </row>
    <row r="8" spans="1:58" ht="34.5" customHeight="1" x14ac:dyDescent="0.3">
      <c r="A8" s="281">
        <v>3</v>
      </c>
      <c r="B8" s="282">
        <f>IF(OR($C8="",$Y$3=""),"",IFERROR(VLOOKUP($Y$3&amp;$A8,Choice!$A$17:$K$217,11,FALSE),""))</f>
        <v>60</v>
      </c>
      <c r="C8" s="283" t="str">
        <f t="shared" si="2"/>
        <v>Smit Quinlan</v>
      </c>
      <c r="D8" s="284" t="str">
        <f>IF(OR($C8="",$Y$3=""),"",IFERROR(VLOOKUP($Y$3&amp;$A8,Choice!$A$17:$K$217,6,FALSE),""))</f>
        <v>S</v>
      </c>
      <c r="E8" s="28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7"/>
      <c r="AD8" s="288"/>
      <c r="AE8" s="391"/>
      <c r="AF8" s="256"/>
      <c r="AG8" s="495"/>
      <c r="AH8" s="495"/>
      <c r="AI8" s="495"/>
      <c r="AJ8" s="495"/>
      <c r="AK8" s="495"/>
      <c r="AL8" s="495"/>
      <c r="AM8" s="495"/>
      <c r="AN8" s="257">
        <v>3</v>
      </c>
      <c r="AO8" s="257">
        <f>IF(AP8="","",3)</f>
        <v>3</v>
      </c>
      <c r="AP8" s="280" t="str">
        <f>IF($Y$3="","",IFERROR(VLOOKUP($Y$3&amp;AN8,Choice!$A$17:$K$217,5,FALSE),""))</f>
        <v>Smit Quinlan</v>
      </c>
      <c r="AQ8" s="280" t="str">
        <f>IF(AP8="","",IF(Choice!$AC$22=1,"",IF(Choice!AD16="","",Choice!AD16)))</f>
        <v/>
      </c>
      <c r="AR8" s="280" t="str">
        <f>IF(AP8="","",IF(Choice!$AC$22=1,"",IF(Choice!AE16="","",Choice!AE16)))</f>
        <v/>
      </c>
      <c r="AS8" s="257">
        <v>3</v>
      </c>
      <c r="AT8" s="257" t="str">
        <f>IFERROR(VLOOKUP(SMALL($AO$6:$AO$11,3),$AO$6:$AP$11,2,FALSE),"")</f>
        <v>Smit Quinlan</v>
      </c>
      <c r="AU8" s="257" t="str">
        <f t="shared" si="3"/>
        <v/>
      </c>
      <c r="AV8" s="257" t="str">
        <f t="shared" si="4"/>
        <v/>
      </c>
      <c r="AW8" s="257">
        <f t="shared" ref="AW8:AW11" si="9">IF($AP$4="","",IF($AT8="","",IF(AW7+1=$AP$5,0,AW7+1)))</f>
        <v>2</v>
      </c>
      <c r="AX8" s="257" t="str">
        <f t="shared" si="0"/>
        <v>Smit Quinlan</v>
      </c>
      <c r="AY8" s="257" t="str">
        <f t="shared" si="5"/>
        <v/>
      </c>
      <c r="AZ8" s="257" t="str">
        <f t="shared" si="6"/>
        <v/>
      </c>
      <c r="BA8" s="257">
        <f t="shared" ref="BA8:BA11" si="10">IF(AW8="","",IF(BA7+1=$AP$5,0,BA7+1))</f>
        <v>2</v>
      </c>
      <c r="BB8" s="257" t="str">
        <f t="shared" si="1"/>
        <v>Smit Quinlan</v>
      </c>
      <c r="BC8" s="257" t="str">
        <f t="shared" si="7"/>
        <v/>
      </c>
      <c r="BD8" s="257" t="str">
        <f t="shared" si="8"/>
        <v/>
      </c>
      <c r="BE8" s="257"/>
      <c r="BF8" s="263"/>
    </row>
    <row r="9" spans="1:58" ht="34.5" customHeight="1" x14ac:dyDescent="0.3">
      <c r="A9" s="281">
        <v>4</v>
      </c>
      <c r="B9" s="282">
        <f>IF(OR($C9="",$Y$3=""),"",IFERROR(VLOOKUP($Y$3&amp;$A9,Choice!$A$17:$K$217,11,FALSE),""))</f>
        <v>50</v>
      </c>
      <c r="C9" s="283" t="str">
        <f t="shared" si="2"/>
        <v>Vermaak Coen</v>
      </c>
      <c r="D9" s="284" t="str">
        <f>IF(OR($C9="",$Y$3=""),"",IFERROR(VLOOKUP($Y$3&amp;$A9,Choice!$A$17:$K$217,6,FALSE),""))</f>
        <v>S</v>
      </c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7"/>
      <c r="AD9" s="288"/>
      <c r="AE9" s="391"/>
      <c r="AF9" s="256"/>
      <c r="AG9" s="495"/>
      <c r="AH9" s="495"/>
      <c r="AI9" s="495"/>
      <c r="AJ9" s="495"/>
      <c r="AK9" s="495"/>
      <c r="AL9" s="495"/>
      <c r="AM9" s="495"/>
      <c r="AN9" s="257">
        <v>4</v>
      </c>
      <c r="AO9" s="257">
        <f>IF(AP9="","",4)</f>
        <v>4</v>
      </c>
      <c r="AP9" s="280" t="str">
        <f>IF($Y$3="","",IFERROR(VLOOKUP($Y$3&amp;AN9,Choice!$A$17:$K$217,5,FALSE),""))</f>
        <v>Vermaak Coen</v>
      </c>
      <c r="AQ9" s="280" t="str">
        <f>IF(AP9="","",IF(Choice!$AC$22=1,"",IF(Choice!AD17="","",Choice!AD17)))</f>
        <v/>
      </c>
      <c r="AR9" s="280" t="str">
        <f>IF(AP9="","",IF(Choice!$AC$22=1,"",IF(Choice!AE17="","",Choice!AE17)))</f>
        <v/>
      </c>
      <c r="AS9" s="280">
        <v>4</v>
      </c>
      <c r="AT9" s="257" t="str">
        <f>IFERROR(VLOOKUP(SMALL($AO$6:$AO$11,4),$AO$6:$AP$11,2,FALSE),"")</f>
        <v>Vermaak Coen</v>
      </c>
      <c r="AU9" s="257" t="str">
        <f t="shared" si="3"/>
        <v/>
      </c>
      <c r="AV9" s="257" t="str">
        <f t="shared" si="4"/>
        <v/>
      </c>
      <c r="AW9" s="257">
        <f t="shared" si="9"/>
        <v>3</v>
      </c>
      <c r="AX9" s="257" t="str">
        <f t="shared" si="0"/>
        <v>Vermaak Coen</v>
      </c>
      <c r="AY9" s="257" t="str">
        <f t="shared" si="5"/>
        <v/>
      </c>
      <c r="AZ9" s="257" t="str">
        <f t="shared" si="6"/>
        <v/>
      </c>
      <c r="BA9" s="257">
        <f t="shared" si="10"/>
        <v>3</v>
      </c>
      <c r="BB9" s="257" t="str">
        <f t="shared" si="1"/>
        <v>Vermaak Coen</v>
      </c>
      <c r="BC9" s="257" t="str">
        <f t="shared" si="7"/>
        <v/>
      </c>
      <c r="BD9" s="257" t="str">
        <f t="shared" si="8"/>
        <v/>
      </c>
      <c r="BE9" s="257"/>
      <c r="BF9" s="263"/>
    </row>
    <row r="10" spans="1:58" ht="34.5" customHeight="1" x14ac:dyDescent="0.3">
      <c r="A10" s="281">
        <v>5</v>
      </c>
      <c r="B10" s="282">
        <f>IF(OR($C10="",$Y$3=""),"",IFERROR(VLOOKUP($Y$3&amp;$A10,Choice!$A$17:$K$217,11,FALSE),""))</f>
        <v>48</v>
      </c>
      <c r="C10" s="283" t="str">
        <f t="shared" si="2"/>
        <v>Vermaak Coen (Jnr)</v>
      </c>
      <c r="D10" s="284" t="str">
        <f>IF(OR($C10="",$Y$3=""),"",IFERROR(VLOOKUP($Y$3&amp;$A10,Choice!$A$17:$K$217,6,FALSE),""))</f>
        <v>J</v>
      </c>
      <c r="E10" s="285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7"/>
      <c r="AD10" s="288"/>
      <c r="AE10" s="391"/>
      <c r="AF10" s="256"/>
      <c r="AG10" s="495"/>
      <c r="AH10" s="495"/>
      <c r="AI10" s="495"/>
      <c r="AJ10" s="495"/>
      <c r="AK10" s="495"/>
      <c r="AL10" s="495"/>
      <c r="AM10" s="495"/>
      <c r="AN10" s="257">
        <v>5</v>
      </c>
      <c r="AO10" s="257">
        <f>IF(AP10="","",5)</f>
        <v>5</v>
      </c>
      <c r="AP10" s="280" t="str">
        <f>IF($Y$3="","",IFERROR(VLOOKUP($Y$3&amp;AN10,Choice!$A$17:$K$217,5,FALSE),""))</f>
        <v>Vermaak Coen (Jnr)</v>
      </c>
      <c r="AQ10" s="280" t="str">
        <f>IF(AP10="","",IF(Choice!$AC$22=1,"",IF(Choice!AD18="","",Choice!AD18)))</f>
        <v/>
      </c>
      <c r="AR10" s="280" t="str">
        <f>IF(AP10="","",IF(Choice!$AC$22=1,"",IF(Choice!AE18="","",Choice!AE18)))</f>
        <v/>
      </c>
      <c r="AS10" s="280">
        <v>5</v>
      </c>
      <c r="AT10" s="257" t="str">
        <f>IFERROR(VLOOKUP(SMALL($AO$6:$AO$11,5),$AO$6:$AP$11,2,FALSE),"")</f>
        <v>Vermaak Coen (Jnr)</v>
      </c>
      <c r="AU10" s="257" t="str">
        <f t="shared" si="3"/>
        <v/>
      </c>
      <c r="AV10" s="257" t="str">
        <f t="shared" si="4"/>
        <v/>
      </c>
      <c r="AW10" s="257">
        <f t="shared" si="9"/>
        <v>4</v>
      </c>
      <c r="AX10" s="257" t="str">
        <f t="shared" si="0"/>
        <v>Vermaak Coen (Jnr)</v>
      </c>
      <c r="AY10" s="257" t="str">
        <f t="shared" si="5"/>
        <v/>
      </c>
      <c r="AZ10" s="257" t="str">
        <f t="shared" si="6"/>
        <v/>
      </c>
      <c r="BA10" s="257">
        <f t="shared" si="10"/>
        <v>4</v>
      </c>
      <c r="BB10" s="257" t="str">
        <f t="shared" si="1"/>
        <v>Vermaak Coen (Jnr)</v>
      </c>
      <c r="BC10" s="257" t="str">
        <f t="shared" si="7"/>
        <v/>
      </c>
      <c r="BD10" s="257" t="str">
        <f t="shared" si="8"/>
        <v/>
      </c>
      <c r="BE10" s="257"/>
      <c r="BF10" s="263"/>
    </row>
    <row r="11" spans="1:58" ht="34.5" customHeight="1" thickBot="1" x14ac:dyDescent="0.35">
      <c r="A11" s="289">
        <v>6</v>
      </c>
      <c r="B11" s="290" t="str">
        <f>IF(OR($C11="",$Y$3=""),"",IFERROR(VLOOKUP($Y$3&amp;$A11,Choice!$A$17:$K$217,11,FALSE),""))</f>
        <v/>
      </c>
      <c r="C11" s="291" t="str">
        <f t="shared" si="2"/>
        <v/>
      </c>
      <c r="D11" s="292" t="str">
        <f>IF(OR($C11="",$Y$3=""),"",IFERROR(VLOOKUP($Y$3&amp;$A11,Choice!$A$17:$K$217,6,FALSE),""))</f>
        <v/>
      </c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  <c r="AD11" s="296"/>
      <c r="AE11" s="392"/>
      <c r="AF11" s="256"/>
      <c r="AG11" s="495"/>
      <c r="AH11" s="495"/>
      <c r="AI11" s="495"/>
      <c r="AJ11" s="495"/>
      <c r="AK11" s="495"/>
      <c r="AL11" s="495"/>
      <c r="AM11" s="495"/>
      <c r="AN11" s="257">
        <v>6</v>
      </c>
      <c r="AO11" s="257" t="str">
        <f>IF(AP11="","",6)</f>
        <v/>
      </c>
      <c r="AP11" s="280" t="str">
        <f>IF($Y$3="","",IFERROR(VLOOKUP($Y$3&amp;AN11,Choice!$A$17:$K$217,5,FALSE),""))</f>
        <v/>
      </c>
      <c r="AQ11" s="280" t="str">
        <f>IF(AP11="","",IF(Choice!$AC$22=1,"",IF(Choice!AD19="","",Choice!AD19)))</f>
        <v/>
      </c>
      <c r="AR11" s="280" t="str">
        <f>IF(AP11="","",IF(Choice!$AC$22=1,"",IF(Choice!AE19="","",Choice!AE19)))</f>
        <v/>
      </c>
      <c r="AS11" s="257">
        <v>6</v>
      </c>
      <c r="AT11" s="257" t="str">
        <f>IFERROR(VLOOKUP(SMALL($AO$6:$AO$11,6),$AO$6:$AP$11,2,FALSE),"")</f>
        <v/>
      </c>
      <c r="AU11" s="257" t="str">
        <f t="shared" si="3"/>
        <v/>
      </c>
      <c r="AV11" s="257" t="str">
        <f t="shared" si="4"/>
        <v/>
      </c>
      <c r="AW11" s="257" t="str">
        <f t="shared" si="9"/>
        <v/>
      </c>
      <c r="AX11" s="257" t="str">
        <f t="shared" si="0"/>
        <v/>
      </c>
      <c r="AY11" s="257" t="str">
        <f t="shared" si="5"/>
        <v/>
      </c>
      <c r="AZ11" s="257" t="str">
        <f t="shared" si="6"/>
        <v/>
      </c>
      <c r="BA11" s="257" t="str">
        <f t="shared" si="10"/>
        <v/>
      </c>
      <c r="BB11" s="257" t="str">
        <f t="shared" si="1"/>
        <v/>
      </c>
      <c r="BC11" s="257" t="str">
        <f t="shared" si="7"/>
        <v/>
      </c>
      <c r="BD11" s="257" t="str">
        <f t="shared" si="8"/>
        <v/>
      </c>
      <c r="BE11" s="257"/>
      <c r="BF11" s="263"/>
    </row>
    <row r="12" spans="1:58" ht="24" customHeight="1" thickBot="1" x14ac:dyDescent="0.3">
      <c r="A12" s="258"/>
      <c r="B12" s="258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65" t="s">
        <v>5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495"/>
      <c r="AH12" s="495"/>
      <c r="AI12" s="495"/>
      <c r="AJ12" s="495"/>
      <c r="AK12" s="495"/>
      <c r="AL12" s="495"/>
      <c r="AM12" s="495"/>
      <c r="AN12" s="257"/>
      <c r="AO12" s="257"/>
      <c r="AP12" s="257" t="s">
        <v>45</v>
      </c>
      <c r="AQ12" s="217" t="s">
        <v>38</v>
      </c>
      <c r="AR12" s="217" t="s">
        <v>37</v>
      </c>
      <c r="AS12" s="257"/>
      <c r="AT12" s="257" t="s">
        <v>46</v>
      </c>
      <c r="AU12" s="217" t="s">
        <v>38</v>
      </c>
      <c r="AV12" s="217" t="s">
        <v>37</v>
      </c>
      <c r="AW12" s="257"/>
      <c r="AX12" s="257" t="s">
        <v>47</v>
      </c>
      <c r="AY12" s="217" t="s">
        <v>38</v>
      </c>
      <c r="AZ12" s="217" t="s">
        <v>37</v>
      </c>
      <c r="BA12" s="257"/>
      <c r="BB12" s="257" t="s">
        <v>48</v>
      </c>
      <c r="BC12" s="217" t="s">
        <v>38</v>
      </c>
      <c r="BD12" s="217" t="s">
        <v>37</v>
      </c>
      <c r="BE12" s="257"/>
      <c r="BF12" s="263"/>
    </row>
    <row r="13" spans="1:58" ht="21" thickBot="1" x14ac:dyDescent="0.35">
      <c r="A13" s="258"/>
      <c r="B13" s="258"/>
      <c r="C13" s="259" t="s">
        <v>6</v>
      </c>
      <c r="D13" s="297"/>
      <c r="E13" s="298"/>
      <c r="F13" s="298"/>
      <c r="G13" s="298"/>
      <c r="H13" s="298"/>
      <c r="I13" s="298"/>
      <c r="J13" s="298"/>
      <c r="K13" s="298"/>
      <c r="L13" s="256"/>
      <c r="M13" s="256"/>
      <c r="N13" s="299" t="s">
        <v>7</v>
      </c>
      <c r="O13" s="300"/>
      <c r="P13" s="256"/>
      <c r="Q13" s="256"/>
      <c r="R13" s="299" t="s">
        <v>8</v>
      </c>
      <c r="S13" s="300"/>
      <c r="T13" s="299"/>
      <c r="U13" s="299"/>
      <c r="V13" s="299"/>
      <c r="W13" s="299"/>
      <c r="X13" s="256"/>
      <c r="Y13" s="256"/>
      <c r="Z13" s="259" t="s">
        <v>9</v>
      </c>
      <c r="AA13" s="298"/>
      <c r="AB13" s="298"/>
      <c r="AC13" s="298"/>
      <c r="AD13" s="298"/>
      <c r="AE13" s="298"/>
      <c r="AF13" s="118"/>
      <c r="AG13" s="496"/>
      <c r="AH13" s="496"/>
      <c r="AI13" s="496"/>
      <c r="AJ13" s="496"/>
      <c r="AK13" s="496"/>
      <c r="AL13" s="495"/>
      <c r="AM13" s="495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63"/>
    </row>
    <row r="14" spans="1:58" x14ac:dyDescent="0.25">
      <c r="A14" s="256"/>
      <c r="B14" s="256"/>
      <c r="C14" s="256"/>
      <c r="D14" s="256"/>
      <c r="E14" s="26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495"/>
      <c r="AH14" s="495"/>
      <c r="AI14" s="495"/>
      <c r="AJ14" s="495"/>
      <c r="AK14" s="495"/>
      <c r="AL14" s="495"/>
      <c r="AM14" s="495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63"/>
    </row>
    <row r="15" spans="1:58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495"/>
      <c r="AH15" s="495"/>
      <c r="AI15" s="495"/>
      <c r="AJ15" s="495"/>
      <c r="AK15" s="495"/>
      <c r="AL15" s="495"/>
      <c r="AM15" s="495"/>
      <c r="AN15" s="495"/>
      <c r="AO15" s="495"/>
      <c r="AP15" s="495"/>
      <c r="AQ15" s="495"/>
      <c r="AR15" s="495"/>
      <c r="AS15" s="495"/>
      <c r="AT15" s="495"/>
      <c r="AU15" s="495"/>
      <c r="AV15" s="495"/>
      <c r="AW15" s="495"/>
      <c r="AX15" s="495"/>
      <c r="AY15" s="495"/>
      <c r="AZ15" s="495"/>
      <c r="BA15" s="495"/>
      <c r="BB15" s="495"/>
      <c r="BC15" s="495"/>
      <c r="BD15" s="256"/>
      <c r="BE15" s="256"/>
      <c r="BF15" s="263"/>
    </row>
    <row r="16" spans="1:58" x14ac:dyDescent="0.25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495"/>
      <c r="AH16" s="495"/>
      <c r="AI16" s="495"/>
      <c r="AJ16" s="495"/>
      <c r="AK16" s="495"/>
      <c r="AL16" s="495"/>
      <c r="AM16" s="495"/>
      <c r="AN16" s="495"/>
      <c r="AO16" s="495"/>
      <c r="AP16" s="495"/>
      <c r="AQ16" s="495"/>
      <c r="AR16" s="495"/>
      <c r="AS16" s="495"/>
      <c r="AT16" s="495"/>
      <c r="AU16" s="495"/>
      <c r="AV16" s="495"/>
      <c r="AW16" s="495"/>
      <c r="AX16" s="495"/>
      <c r="AY16" s="495"/>
      <c r="AZ16" s="495"/>
      <c r="BA16" s="494"/>
      <c r="BB16" s="494"/>
      <c r="BC16" s="494"/>
      <c r="BD16" s="301"/>
      <c r="BE16" s="301"/>
      <c r="BF16" s="263"/>
    </row>
    <row r="17" spans="1:58" ht="39.950000000000003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256"/>
      <c r="AG17" s="495"/>
      <c r="AH17" s="495"/>
      <c r="AI17" s="495"/>
      <c r="AJ17" s="495"/>
      <c r="AK17" s="495"/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4"/>
      <c r="BB17" s="494"/>
      <c r="BC17" s="494"/>
      <c r="BD17" s="252"/>
      <c r="BE17" s="252"/>
      <c r="BF17" s="263"/>
    </row>
    <row r="18" spans="1:58" ht="39.950000000000003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256"/>
      <c r="AG18" s="256"/>
      <c r="AH18" s="256"/>
      <c r="AI18" s="256"/>
      <c r="AJ18" s="256"/>
      <c r="AK18" s="256"/>
      <c r="AL18" s="257"/>
      <c r="AM18" s="257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301"/>
      <c r="BB18" s="301"/>
      <c r="BC18" s="301"/>
      <c r="BD18" s="301"/>
      <c r="BE18" s="301"/>
      <c r="BF18" s="263"/>
    </row>
    <row r="19" spans="1:58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20"/>
      <c r="AG19" s="20"/>
      <c r="AH19" s="20"/>
      <c r="AI19" s="20"/>
      <c r="AJ19" s="20"/>
      <c r="AK19" s="20"/>
      <c r="AL19" s="21"/>
      <c r="AM19" s="21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19"/>
      <c r="BB19" s="19"/>
      <c r="BC19" s="19"/>
      <c r="BD19" s="19"/>
      <c r="BE19" s="19"/>
      <c r="BF19" s="23"/>
    </row>
    <row r="20" spans="1:58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20"/>
      <c r="AG20" s="20"/>
      <c r="AH20" s="20"/>
      <c r="AI20" s="20"/>
      <c r="AJ20" s="20"/>
      <c r="AK20" s="20"/>
      <c r="AL20" s="21"/>
      <c r="AM20" s="21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19"/>
      <c r="BB20" s="19"/>
      <c r="BC20" s="19"/>
      <c r="BD20" s="19"/>
      <c r="BE20" s="19"/>
      <c r="BF20" s="23"/>
    </row>
    <row r="21" spans="1:58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20"/>
      <c r="AG21" s="20"/>
      <c r="AH21" s="20"/>
      <c r="AI21" s="20"/>
      <c r="AJ21" s="20"/>
      <c r="AK21" s="20"/>
      <c r="AL21" s="21"/>
      <c r="AM21" s="21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19"/>
      <c r="BB21" s="19"/>
      <c r="BC21" s="19"/>
      <c r="BD21" s="19"/>
      <c r="BE21" s="19"/>
      <c r="BF21" s="23"/>
    </row>
    <row r="22" spans="1:58" ht="16.149999999999999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N22" s="19"/>
      <c r="AO22" s="19"/>
      <c r="AP22" s="19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ht="24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N23" s="19"/>
      <c r="AO23" s="19"/>
      <c r="AP23" s="19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N24" s="19"/>
      <c r="AO24" s="19"/>
      <c r="AP24" s="19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  <c r="AF25"/>
      <c r="AG25"/>
      <c r="AH25"/>
      <c r="AI25"/>
      <c r="AJ25"/>
      <c r="AN25" s="19"/>
      <c r="AO25" s="19"/>
      <c r="AP25" s="19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N26" s="19"/>
      <c r="AO26" s="19"/>
      <c r="AP26" s="19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</row>
    <row r="27" spans="1:58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N27" s="19"/>
      <c r="AO27" s="19"/>
      <c r="AP27" s="19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</row>
  </sheetData>
  <sheetProtection algorithmName="SHA-512" hashValue="ENEKkqhBOiJDsAeR7gZgqKm/jtPsZRlskV251sUOemEbSVs0XPi8NBM+FWID/rjOdHPrUKITXFBWwKmCn6BDdg==" saltValue="UGIbPlGe0L3hIfzRB+VqTA==" spinCount="100000" sheet="1" objects="1" scenarios="1" selectLockedCells="1"/>
  <mergeCells count="1">
    <mergeCell ref="E3:G3"/>
  </mergeCells>
  <conditionalFormatting sqref="Z4">
    <cfRule type="cellIs" dxfId="3" priority="2" stopIfTrue="1" operator="equal">
      <formula>0</formula>
    </cfRule>
  </conditionalFormatting>
  <printOptions horizontalCentered="1" verticalCentered="1"/>
  <pageMargins left="0.37" right="0.69" top="0.6" bottom="0.69" header="0.51181102362204722" footer="0.51181102362204722"/>
  <pageSetup paperSize="9" scale="66" orientation="landscape" horizontalDpi="300" verticalDpi="300" r:id="rId1"/>
  <headerFooter alignWithMargins="0">
    <oddHeader>&amp;C&amp;"Arial,Bold"&amp;24FITASC Sporting</oddHeader>
    <oddFooter>&amp;LCopyright: All rights reserved&amp;CB F Black (082 517 5710)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4" r:id="rId4" name="Drop Down 6">
              <controlPr defaultSize="0" print="0" autoLine="0" autoPict="0" macro="[0]!DropDown6_Change">
                <anchor moveWithCells="1">
                  <from>
                    <xdr:col>14</xdr:col>
                    <xdr:colOff>9525</xdr:colOff>
                    <xdr:row>0</xdr:row>
                    <xdr:rowOff>57150</xdr:rowOff>
                  </from>
                  <to>
                    <xdr:col>18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A1:BF27"/>
  <sheetViews>
    <sheetView showGridLines="0" showRowColHeaders="0" showZeros="0" topLeftCell="A3" zoomScale="85" zoomScaleNormal="85" workbookViewId="0">
      <selection activeCell="Y3" sqref="Y3"/>
    </sheetView>
  </sheetViews>
  <sheetFormatPr defaultColWidth="10.28515625" defaultRowHeight="15.75" x14ac:dyDescent="0.25"/>
  <cols>
    <col min="1" max="1" width="5.28515625" style="1" customWidth="1"/>
    <col min="2" max="2" width="6.28515625" style="1" customWidth="1"/>
    <col min="3" max="3" width="28.140625" style="1" customWidth="1"/>
    <col min="4" max="4" width="4.7109375" style="1" customWidth="1"/>
    <col min="5" max="25" width="5.85546875" style="1" customWidth="1"/>
    <col min="26" max="26" width="5.28515625" style="1" customWidth="1"/>
    <col min="27" max="27" width="6.42578125" style="1" customWidth="1"/>
    <col min="28" max="29" width="5.85546875" style="1" customWidth="1"/>
    <col min="30" max="30" width="9.85546875" style="1" customWidth="1"/>
    <col min="31" max="31" width="8.42578125" style="1" customWidth="1"/>
    <col min="32" max="35" width="4" style="1" customWidth="1"/>
    <col min="36" max="36" width="4" style="2" customWidth="1"/>
    <col min="37" max="39" width="5.28515625" customWidth="1"/>
    <col min="42" max="42" width="10.85546875" customWidth="1"/>
    <col min="43" max="43" width="10.28515625" style="1"/>
    <col min="44" max="44" width="12.5703125" style="1" customWidth="1"/>
    <col min="45" max="48" width="10.28515625" style="1"/>
    <col min="49" max="49" width="20.7109375" style="1" customWidth="1"/>
    <col min="50" max="16384" width="10.28515625" style="1"/>
  </cols>
  <sheetData>
    <row r="1" spans="1:58" ht="25.5" x14ac:dyDescent="0.35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78" t="s">
        <v>103</v>
      </c>
      <c r="O1" s="251" t="str">
        <f>AU4</f>
        <v>Clockwise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7" t="str">
        <f>ClubName</f>
        <v>Valley Gun Club</v>
      </c>
      <c r="AF1" s="126"/>
      <c r="AG1" s="126"/>
      <c r="AH1" s="263"/>
      <c r="AI1" s="263"/>
      <c r="AJ1" s="388"/>
      <c r="AK1" s="301"/>
      <c r="AL1" s="301"/>
      <c r="AM1" s="301"/>
      <c r="AN1" s="252"/>
      <c r="AO1" s="252"/>
      <c r="AP1" s="252"/>
      <c r="AQ1" s="217"/>
      <c r="AR1" s="217"/>
      <c r="AS1" s="217"/>
      <c r="AT1" s="217">
        <v>1</v>
      </c>
      <c r="AU1" s="217" t="s">
        <v>101</v>
      </c>
      <c r="AV1" s="217"/>
      <c r="AW1" s="217"/>
      <c r="AX1" s="217"/>
      <c r="AY1" s="217"/>
      <c r="AZ1" s="217"/>
      <c r="BA1" s="217"/>
      <c r="BB1" s="217"/>
      <c r="BC1" s="217"/>
      <c r="BD1" s="217"/>
      <c r="BE1" s="217"/>
      <c r="BF1" s="126"/>
    </row>
    <row r="2" spans="1:58" ht="30" x14ac:dyDescent="0.4">
      <c r="A2" s="87"/>
      <c r="B2" s="87"/>
      <c r="C2" s="253"/>
      <c r="D2" s="87"/>
      <c r="E2" s="87"/>
      <c r="F2" s="87"/>
      <c r="G2" s="87"/>
      <c r="H2" s="87"/>
      <c r="I2" s="87"/>
      <c r="J2" s="254"/>
      <c r="K2" s="255"/>
      <c r="L2" s="255"/>
      <c r="M2" s="255"/>
      <c r="N2" s="255"/>
      <c r="O2" s="255"/>
      <c r="P2" s="255"/>
      <c r="Q2" s="255"/>
      <c r="R2" s="87"/>
      <c r="S2" s="87"/>
      <c r="T2" s="87"/>
      <c r="U2" s="87"/>
      <c r="V2" s="87"/>
      <c r="W2" s="87"/>
      <c r="X2" s="87"/>
      <c r="Y2" s="87"/>
      <c r="Z2" s="125"/>
      <c r="AA2" s="87"/>
      <c r="AB2" s="87"/>
      <c r="AC2" s="87"/>
      <c r="AD2" s="87"/>
      <c r="AE2" s="87"/>
      <c r="AF2" s="256"/>
      <c r="AG2" s="256"/>
      <c r="AH2" s="256"/>
      <c r="AI2" s="256"/>
      <c r="AJ2" s="256"/>
      <c r="AK2" s="256"/>
      <c r="AL2" s="256"/>
      <c r="AM2" s="256"/>
      <c r="AN2" s="257"/>
      <c r="AO2" s="257"/>
      <c r="AP2" s="257"/>
      <c r="AQ2" s="257"/>
      <c r="AR2" s="257"/>
      <c r="AS2" s="257"/>
      <c r="AT2" s="257">
        <v>2</v>
      </c>
      <c r="AU2" s="257" t="s">
        <v>48</v>
      </c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126"/>
    </row>
    <row r="3" spans="1:58" ht="19.5" thickBot="1" x14ac:dyDescent="0.35">
      <c r="A3" s="258"/>
      <c r="B3" s="259"/>
      <c r="C3" s="260"/>
      <c r="D3" s="261" t="s">
        <v>21</v>
      </c>
      <c r="E3" s="499">
        <f>IF(Choice!H4="","",Choice!H4)</f>
        <v>43743</v>
      </c>
      <c r="F3" s="500"/>
      <c r="G3" s="500"/>
      <c r="H3" s="256"/>
      <c r="I3" s="256"/>
      <c r="J3" s="256"/>
      <c r="K3" s="256"/>
      <c r="L3" s="256"/>
      <c r="M3" s="256"/>
      <c r="N3" s="256"/>
      <c r="O3" s="262">
        <v>1</v>
      </c>
      <c r="P3" s="256"/>
      <c r="Q3" s="256"/>
      <c r="R3" s="256"/>
      <c r="S3" s="256"/>
      <c r="T3" s="256"/>
      <c r="U3" s="256"/>
      <c r="V3" s="256"/>
      <c r="W3" s="263"/>
      <c r="X3" s="259" t="s">
        <v>33</v>
      </c>
      <c r="Y3" s="72">
        <v>2</v>
      </c>
      <c r="Z3" s="263"/>
      <c r="AA3" s="259" t="s">
        <v>34</v>
      </c>
      <c r="AB3" s="45"/>
      <c r="AC3" s="263"/>
      <c r="AD3" s="259" t="s">
        <v>35</v>
      </c>
      <c r="AE3" s="45">
        <v>1</v>
      </c>
      <c r="AF3" s="256"/>
      <c r="AG3" s="256"/>
      <c r="AH3" s="256"/>
      <c r="AI3" s="256"/>
      <c r="AJ3" s="256"/>
      <c r="AK3" s="256"/>
      <c r="AL3" s="256"/>
      <c r="AM3" s="256"/>
      <c r="AN3" s="257"/>
      <c r="AO3" s="257"/>
      <c r="AP3" s="257">
        <f>AT4</f>
        <v>2</v>
      </c>
      <c r="AQ3" s="257" t="s">
        <v>39</v>
      </c>
      <c r="AR3" s="257"/>
      <c r="AS3" s="257"/>
      <c r="AT3" s="257">
        <v>3</v>
      </c>
      <c r="AU3" s="257" t="s">
        <v>102</v>
      </c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126"/>
    </row>
    <row r="4" spans="1:58" ht="16.5" thickBot="1" x14ac:dyDescent="0.3">
      <c r="A4" s="258"/>
      <c r="B4" s="258"/>
      <c r="C4" s="259"/>
      <c r="D4" s="259"/>
      <c r="E4" s="260"/>
      <c r="F4" s="258"/>
      <c r="G4" s="258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64"/>
      <c r="AA4" s="265"/>
      <c r="AB4" s="256"/>
      <c r="AC4" s="26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7"/>
      <c r="AO4" s="257"/>
      <c r="AP4" s="257">
        <f>IF(AE3="","",AE3)</f>
        <v>1</v>
      </c>
      <c r="AQ4" s="257" t="s">
        <v>44</v>
      </c>
      <c r="AR4" s="257"/>
      <c r="AS4" s="257"/>
      <c r="AT4" s="52">
        <v>2</v>
      </c>
      <c r="AU4" s="257" t="str">
        <f>VLOOKUP(AT4,AT1:AU3,2,FALSE)</f>
        <v>Clockwise</v>
      </c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126"/>
    </row>
    <row r="5" spans="1:58" ht="39.950000000000003" customHeight="1" thickBot="1" x14ac:dyDescent="0.3">
      <c r="A5" s="99" t="s">
        <v>36</v>
      </c>
      <c r="B5" s="267" t="s">
        <v>37</v>
      </c>
      <c r="C5" s="101" t="s">
        <v>3</v>
      </c>
      <c r="D5" s="102" t="s">
        <v>38</v>
      </c>
      <c r="E5" s="268">
        <v>1</v>
      </c>
      <c r="F5" s="269">
        <v>2</v>
      </c>
      <c r="G5" s="269">
        <v>3</v>
      </c>
      <c r="H5" s="269">
        <v>4</v>
      </c>
      <c r="I5" s="269">
        <v>5</v>
      </c>
      <c r="J5" s="269">
        <v>6</v>
      </c>
      <c r="K5" s="269">
        <v>7</v>
      </c>
      <c r="L5" s="269">
        <v>8</v>
      </c>
      <c r="M5" s="269">
        <v>9</v>
      </c>
      <c r="N5" s="269">
        <v>10</v>
      </c>
      <c r="O5" s="269">
        <v>11</v>
      </c>
      <c r="P5" s="269">
        <v>12</v>
      </c>
      <c r="Q5" s="269">
        <v>13</v>
      </c>
      <c r="R5" s="269">
        <v>14</v>
      </c>
      <c r="S5" s="269">
        <v>15</v>
      </c>
      <c r="T5" s="269">
        <v>16</v>
      </c>
      <c r="U5" s="269">
        <v>17</v>
      </c>
      <c r="V5" s="269">
        <v>18</v>
      </c>
      <c r="W5" s="269">
        <v>19</v>
      </c>
      <c r="X5" s="269">
        <v>20</v>
      </c>
      <c r="Y5" s="269">
        <v>21</v>
      </c>
      <c r="Z5" s="269">
        <v>22</v>
      </c>
      <c r="AA5" s="269">
        <v>23</v>
      </c>
      <c r="AB5" s="269">
        <v>24</v>
      </c>
      <c r="AC5" s="270">
        <v>25</v>
      </c>
      <c r="AD5" s="271" t="s">
        <v>4</v>
      </c>
      <c r="AE5" s="389" t="s">
        <v>23</v>
      </c>
      <c r="AF5" s="256"/>
      <c r="AG5" s="256"/>
      <c r="AH5" s="256"/>
      <c r="AI5" s="256"/>
      <c r="AJ5" s="256"/>
      <c r="AK5" s="256"/>
      <c r="AL5" s="256"/>
      <c r="AM5" s="256"/>
      <c r="AN5" s="257"/>
      <c r="AO5" s="257"/>
      <c r="AP5" s="257">
        <f>COUNTA(AP6:AP11)-COUNTIF(AP6:AP11,"")</f>
        <v>5</v>
      </c>
      <c r="AQ5" s="257" t="s">
        <v>43</v>
      </c>
      <c r="AR5" s="257">
        <f>IF(AP4="","",AP5/AP4)</f>
        <v>5</v>
      </c>
      <c r="AS5" s="257"/>
      <c r="AT5" s="257"/>
      <c r="AU5" s="257"/>
      <c r="AV5" s="257"/>
      <c r="AW5" s="257"/>
      <c r="AX5" s="257"/>
      <c r="AY5" s="257"/>
      <c r="AZ5" s="257"/>
      <c r="BA5" s="257"/>
      <c r="BB5" s="257"/>
      <c r="BC5" s="257"/>
      <c r="BD5" s="257"/>
      <c r="BE5" s="257"/>
      <c r="BF5" s="126"/>
    </row>
    <row r="6" spans="1:58" ht="34.5" customHeight="1" x14ac:dyDescent="0.3">
      <c r="A6" s="272">
        <v>1</v>
      </c>
      <c r="B6" s="273">
        <f>IF(OR($C6="",$Y$3=""),"",IFERROR(VLOOKUP($Y$3&amp;$A6,Choice!$A$17:$K$217,11,FALSE),""))</f>
        <v>1</v>
      </c>
      <c r="C6" s="274" t="str">
        <f>IF($Y$3="","",IF($AP$3=2,BB6,AX6))</f>
        <v>Henderson Rob</v>
      </c>
      <c r="D6" s="275" t="str">
        <f>IF(OR($C6="",$Y$3=""),"",IFERROR(VLOOKUP($Y$3&amp;$A6,Choice!$A$17:$K$217,6,FALSE),""))</f>
        <v>S</v>
      </c>
      <c r="E6" s="276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8"/>
      <c r="AD6" s="279"/>
      <c r="AE6" s="390"/>
      <c r="AF6" s="256"/>
      <c r="AG6" s="256"/>
      <c r="AH6" s="256"/>
      <c r="AI6" s="256"/>
      <c r="AJ6" s="256"/>
      <c r="AK6" s="256"/>
      <c r="AL6" s="256"/>
      <c r="AM6" s="256"/>
      <c r="AN6" s="257">
        <v>1</v>
      </c>
      <c r="AO6" s="257">
        <f>IF(AP6="","",1)</f>
        <v>1</v>
      </c>
      <c r="AP6" s="280" t="str">
        <f>IF($Y$3="","",IFERROR(VLOOKUP($Y$3&amp;AN6,Choice!$A$17:$K$217,5,FALSE),""))</f>
        <v>Henderson Rob</v>
      </c>
      <c r="AQ6" s="280" t="str">
        <f>IF(AP6="","",IF(Choice!$AC$22=1,"",IF(Choice!AD14="","",Choice!AD14)))</f>
        <v/>
      </c>
      <c r="AR6" s="280" t="str">
        <f>IF(AP6="","",IF(Choice!$AC$22=1,"",IF(Choice!AE14="","",Choice!AE14)))</f>
        <v/>
      </c>
      <c r="AS6" s="280">
        <v>1</v>
      </c>
      <c r="AT6" s="257" t="str">
        <f>IFERROR(VLOOKUP(SMALL($AO$6:$AO$11,1),$AO$6:$AP$11,2,FALSE),"")</f>
        <v>Henderson Rob</v>
      </c>
      <c r="AU6" s="257" t="str">
        <f>IF($AT6="","",VLOOKUP($AT6,$AP$6:$AR$11,2,FALSE))</f>
        <v/>
      </c>
      <c r="AV6" s="257" t="str">
        <f>IF($AT6="","",VLOOKUP($AT6,$AP$6:$AR$11,3,FALSE))</f>
        <v/>
      </c>
      <c r="AW6" s="257">
        <f>IF($AP$4="","",IF(AR5&lt;0.5,AP4-AP5-AP5-1,IF(AR5&lt;1,AP4-AP5-1,AP4-1)))</f>
        <v>0</v>
      </c>
      <c r="AX6" s="257" t="str">
        <f t="shared" ref="AX6:AX11" si="0">IFERROR(VLOOKUP(AW6+1,$AS$6:$AT$11,2,FALSE),"")</f>
        <v>Henderson Rob</v>
      </c>
      <c r="AY6" s="257" t="str">
        <f>IF($AX6="","",VLOOKUP($AX6,$AP$6:$AX$11,2,FALSE))</f>
        <v/>
      </c>
      <c r="AZ6" s="257" t="str">
        <f>IF($AX6="","",VLOOKUP($AX6,$AP$6:$AR$11,3,FALSE))</f>
        <v/>
      </c>
      <c r="BA6" s="257">
        <f>IF(AW6="","",IF(AW6=0,0,$AP$5-AW6))</f>
        <v>0</v>
      </c>
      <c r="BB6" s="257" t="str">
        <f t="shared" ref="BB6:BB11" si="1">IF(BA6="","",VLOOKUP(BA6+1,$AS$6:$AT$11,2,FALSE))</f>
        <v>Henderson Rob</v>
      </c>
      <c r="BC6" s="257" t="str">
        <f>IF($BB6="","",VLOOKUP($BB6,$AP$6:$AX$11,2,FALSE))</f>
        <v/>
      </c>
      <c r="BD6" s="257" t="str">
        <f>IF($BB6="","",VLOOKUP($BB6,$AP$6:$AR$11,3,FALSE))</f>
        <v/>
      </c>
      <c r="BE6" s="257"/>
      <c r="BF6" s="126"/>
    </row>
    <row r="7" spans="1:58" ht="34.5" customHeight="1" x14ac:dyDescent="0.3">
      <c r="A7" s="281">
        <v>2</v>
      </c>
      <c r="B7" s="282">
        <f>IF(OR($C7="",$Y$3=""),"",IFERROR(VLOOKUP($Y$3&amp;$A7,Choice!$A$17:$K$217,11,FALSE),""))</f>
        <v>78</v>
      </c>
      <c r="C7" s="283" t="str">
        <f t="shared" ref="C7:C11" si="2">IF($Y$3="","",IF($AP$3=2,BB7,AX7))</f>
        <v>Grimmbacher Corne</v>
      </c>
      <c r="D7" s="284" t="str">
        <f>IF(OR($C7="",$Y$3=""),"",IFERROR(VLOOKUP($Y$3&amp;$A7,Choice!$A$17:$K$217,6,FALSE),""))</f>
        <v>L</v>
      </c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7"/>
      <c r="AD7" s="288"/>
      <c r="AE7" s="391"/>
      <c r="AF7" s="256"/>
      <c r="AG7" s="256"/>
      <c r="AH7" s="256"/>
      <c r="AI7" s="256"/>
      <c r="AJ7" s="256"/>
      <c r="AK7" s="256"/>
      <c r="AL7" s="256"/>
      <c r="AM7" s="256"/>
      <c r="AN7" s="257">
        <v>2</v>
      </c>
      <c r="AO7" s="257">
        <f>IF(AP7="","",2)</f>
        <v>2</v>
      </c>
      <c r="AP7" s="280" t="str">
        <f>IF($Y$3="","",IFERROR(VLOOKUP($Y$3&amp;AN7,Choice!$A$17:$K$217,5,FALSE),""))</f>
        <v>Grimmbacher Corne</v>
      </c>
      <c r="AQ7" s="280" t="str">
        <f>IF(AP7="","",IF(Choice!$AC$22=1,"",IF(Choice!AD15="","",Choice!AD15)))</f>
        <v/>
      </c>
      <c r="AR7" s="280" t="str">
        <f>IF(AP7="","",IF(Choice!$AC$22=1,"",IF(Choice!AE15="","",Choice!AE15)))</f>
        <v/>
      </c>
      <c r="AS7" s="280">
        <v>2</v>
      </c>
      <c r="AT7" s="257" t="str">
        <f>IFERROR(VLOOKUP(SMALL($AO$6:$AO$11,2),$AO$6:$AP$11,2,FALSE),"")</f>
        <v>Grimmbacher Corne</v>
      </c>
      <c r="AU7" s="257" t="str">
        <f t="shared" ref="AU7:AU11" si="3">IF($AT7="","",VLOOKUP($AT7,$AP$6:$AR$11,2,FALSE))</f>
        <v/>
      </c>
      <c r="AV7" s="257" t="str">
        <f t="shared" ref="AV7:AV11" si="4">IF($AT7="","",VLOOKUP($AT7,$AP$6:$AR$11,3,FALSE))</f>
        <v/>
      </c>
      <c r="AW7" s="257">
        <f>IF(OR($AT7="",$AP$4=""),"",IF(AW6+1=$AP$5,0,AW6+1))</f>
        <v>1</v>
      </c>
      <c r="AX7" s="257" t="str">
        <f t="shared" si="0"/>
        <v>Grimmbacher Corne</v>
      </c>
      <c r="AY7" s="257" t="str">
        <f t="shared" ref="AY7:AY11" si="5">IF($AX7="","",VLOOKUP($AX7,$AP$6:$AX$11,2,FALSE))</f>
        <v/>
      </c>
      <c r="AZ7" s="257" t="str">
        <f t="shared" ref="AZ7:AZ11" si="6">IF($AX7="","",VLOOKUP($AX7,$AP$6:$AR$11,3,FALSE))</f>
        <v/>
      </c>
      <c r="BA7" s="257">
        <f>IF(AW7="","",IF(BA6+1=$AP$5,0,BA6+1))</f>
        <v>1</v>
      </c>
      <c r="BB7" s="257" t="str">
        <f t="shared" si="1"/>
        <v>Grimmbacher Corne</v>
      </c>
      <c r="BC7" s="257" t="str">
        <f t="shared" ref="BC7:BC11" si="7">IF($BB7="","",VLOOKUP($BB7,$AP$6:$AX$11,2,FALSE))</f>
        <v/>
      </c>
      <c r="BD7" s="257" t="str">
        <f t="shared" ref="BD7:BD11" si="8">IF($BB7="","",VLOOKUP($BB7,$AP$6:$AR$11,3,FALSE))</f>
        <v/>
      </c>
      <c r="BE7" s="257"/>
      <c r="BF7" s="126"/>
    </row>
    <row r="8" spans="1:58" ht="34.5" customHeight="1" x14ac:dyDescent="0.3">
      <c r="A8" s="281">
        <v>3</v>
      </c>
      <c r="B8" s="282">
        <f>IF(OR($C8="",$Y$3=""),"",IFERROR(VLOOKUP($Y$3&amp;$A8,Choice!$A$17:$K$217,11,FALSE),""))</f>
        <v>60</v>
      </c>
      <c r="C8" s="283" t="str">
        <f t="shared" si="2"/>
        <v>Smit Quinlan</v>
      </c>
      <c r="D8" s="284" t="str">
        <f>IF(OR($C8="",$Y$3=""),"",IFERROR(VLOOKUP($Y$3&amp;$A8,Choice!$A$17:$K$217,6,FALSE),""))</f>
        <v>S</v>
      </c>
      <c r="E8" s="28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7"/>
      <c r="AD8" s="288"/>
      <c r="AE8" s="391"/>
      <c r="AF8" s="256"/>
      <c r="AG8" s="256"/>
      <c r="AH8" s="256"/>
      <c r="AI8" s="256"/>
      <c r="AJ8" s="256"/>
      <c r="AK8" s="256"/>
      <c r="AL8" s="256"/>
      <c r="AM8" s="256"/>
      <c r="AN8" s="257">
        <v>3</v>
      </c>
      <c r="AO8" s="257">
        <f>IF(AP8="","",3)</f>
        <v>3</v>
      </c>
      <c r="AP8" s="280" t="str">
        <f>IF($Y$3="","",IFERROR(VLOOKUP($Y$3&amp;AN8,Choice!$A$17:$K$217,5,FALSE),""))</f>
        <v>Smit Quinlan</v>
      </c>
      <c r="AQ8" s="280" t="str">
        <f>IF(AP8="","",IF(Choice!$AC$22=1,"",IF(Choice!AD16="","",Choice!AD16)))</f>
        <v/>
      </c>
      <c r="AR8" s="280" t="str">
        <f>IF(AP8="","",IF(Choice!$AC$22=1,"",IF(Choice!AE16="","",Choice!AE16)))</f>
        <v/>
      </c>
      <c r="AS8" s="257">
        <v>3</v>
      </c>
      <c r="AT8" s="257" t="str">
        <f>IFERROR(VLOOKUP(SMALL($AO$6:$AO$11,3),$AO$6:$AP$11,2,FALSE),"")</f>
        <v>Smit Quinlan</v>
      </c>
      <c r="AU8" s="257" t="str">
        <f t="shared" si="3"/>
        <v/>
      </c>
      <c r="AV8" s="257" t="str">
        <f t="shared" si="4"/>
        <v/>
      </c>
      <c r="AW8" s="257">
        <f t="shared" ref="AW8:AW11" si="9">IF(OR($AT8="",$AP$4=""),"",IF(AW7+1=$AP$5,0,AW7+1))</f>
        <v>2</v>
      </c>
      <c r="AX8" s="257" t="str">
        <f t="shared" si="0"/>
        <v>Smit Quinlan</v>
      </c>
      <c r="AY8" s="257" t="str">
        <f t="shared" si="5"/>
        <v/>
      </c>
      <c r="AZ8" s="257" t="str">
        <f t="shared" si="6"/>
        <v/>
      </c>
      <c r="BA8" s="257">
        <f t="shared" ref="BA8:BA11" si="10">IF(AW8="","",IF(BA7+1=$AP$5,0,BA7+1))</f>
        <v>2</v>
      </c>
      <c r="BB8" s="257" t="str">
        <f t="shared" si="1"/>
        <v>Smit Quinlan</v>
      </c>
      <c r="BC8" s="257" t="str">
        <f t="shared" si="7"/>
        <v/>
      </c>
      <c r="BD8" s="257" t="str">
        <f t="shared" si="8"/>
        <v/>
      </c>
      <c r="BE8" s="257"/>
      <c r="BF8" s="126"/>
    </row>
    <row r="9" spans="1:58" ht="34.5" customHeight="1" x14ac:dyDescent="0.3">
      <c r="A9" s="281">
        <v>4</v>
      </c>
      <c r="B9" s="282">
        <f>IF(OR($C9="",$Y$3=""),"",IFERROR(VLOOKUP($Y$3&amp;$A9,Choice!$A$17:$K$217,11,FALSE),""))</f>
        <v>50</v>
      </c>
      <c r="C9" s="283" t="str">
        <f t="shared" si="2"/>
        <v>Vermaak Coen</v>
      </c>
      <c r="D9" s="284" t="str">
        <f>IF(OR($C9="",$Y$3=""),"",IFERROR(VLOOKUP($Y$3&amp;$A9,Choice!$A$17:$K$217,6,FALSE),""))</f>
        <v>S</v>
      </c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7"/>
      <c r="AD9" s="288"/>
      <c r="AE9" s="391"/>
      <c r="AF9" s="256"/>
      <c r="AG9" s="256"/>
      <c r="AH9" s="256"/>
      <c r="AI9" s="256"/>
      <c r="AJ9" s="256"/>
      <c r="AK9" s="256"/>
      <c r="AL9" s="256"/>
      <c r="AM9" s="256"/>
      <c r="AN9" s="257">
        <v>4</v>
      </c>
      <c r="AO9" s="257">
        <f>IF(AP9="","",4)</f>
        <v>4</v>
      </c>
      <c r="AP9" s="280" t="str">
        <f>IF($Y$3="","",IFERROR(VLOOKUP($Y$3&amp;AN9,Choice!$A$17:$K$217,5,FALSE),""))</f>
        <v>Vermaak Coen</v>
      </c>
      <c r="AQ9" s="280" t="str">
        <f>IF(AP9="","",IF(Choice!$AC$22=1,"",IF(Choice!AD17="","",Choice!AD17)))</f>
        <v/>
      </c>
      <c r="AR9" s="280" t="str">
        <f>IF(AP9="","",IF(Choice!$AC$22=1,"",IF(Choice!AE17="","",Choice!AE17)))</f>
        <v/>
      </c>
      <c r="AS9" s="280">
        <v>4</v>
      </c>
      <c r="AT9" s="257" t="str">
        <f>IFERROR(VLOOKUP(SMALL($AO$6:$AO$11,4),$AO$6:$AP$11,2,FALSE),"")</f>
        <v>Vermaak Coen</v>
      </c>
      <c r="AU9" s="257" t="str">
        <f t="shared" si="3"/>
        <v/>
      </c>
      <c r="AV9" s="257" t="str">
        <f t="shared" si="4"/>
        <v/>
      </c>
      <c r="AW9" s="257">
        <f t="shared" si="9"/>
        <v>3</v>
      </c>
      <c r="AX9" s="257" t="str">
        <f t="shared" si="0"/>
        <v>Vermaak Coen</v>
      </c>
      <c r="AY9" s="257" t="str">
        <f t="shared" si="5"/>
        <v/>
      </c>
      <c r="AZ9" s="257" t="str">
        <f t="shared" si="6"/>
        <v/>
      </c>
      <c r="BA9" s="257">
        <f t="shared" si="10"/>
        <v>3</v>
      </c>
      <c r="BB9" s="257" t="str">
        <f t="shared" si="1"/>
        <v>Vermaak Coen</v>
      </c>
      <c r="BC9" s="257" t="str">
        <f t="shared" si="7"/>
        <v/>
      </c>
      <c r="BD9" s="257" t="str">
        <f t="shared" si="8"/>
        <v/>
      </c>
      <c r="BE9" s="257"/>
      <c r="BF9" s="126"/>
    </row>
    <row r="10" spans="1:58" ht="34.5" customHeight="1" x14ac:dyDescent="0.3">
      <c r="A10" s="281">
        <v>5</v>
      </c>
      <c r="B10" s="282">
        <f>IF(OR($C10="",$Y$3=""),"",IFERROR(VLOOKUP($Y$3&amp;$A10,Choice!$A$17:$K$217,11,FALSE),""))</f>
        <v>48</v>
      </c>
      <c r="C10" s="283" t="str">
        <f t="shared" si="2"/>
        <v>Vermaak Coen (Jnr)</v>
      </c>
      <c r="D10" s="284" t="str">
        <f>IF(OR($C10="",$Y$3=""),"",IFERROR(VLOOKUP($Y$3&amp;$A10,Choice!$A$17:$K$217,6,FALSE),""))</f>
        <v>J</v>
      </c>
      <c r="E10" s="285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7"/>
      <c r="AD10" s="288"/>
      <c r="AE10" s="391"/>
      <c r="AF10" s="256"/>
      <c r="AG10" s="256"/>
      <c r="AH10" s="256"/>
      <c r="AI10" s="256"/>
      <c r="AJ10" s="256"/>
      <c r="AK10" s="256"/>
      <c r="AL10" s="256"/>
      <c r="AM10" s="256"/>
      <c r="AN10" s="257">
        <v>5</v>
      </c>
      <c r="AO10" s="257">
        <f>IF(AP10="","",5)</f>
        <v>5</v>
      </c>
      <c r="AP10" s="280" t="str">
        <f>IF($Y$3="","",IFERROR(VLOOKUP($Y$3&amp;AN10,Choice!$A$17:$K$217,5,FALSE),""))</f>
        <v>Vermaak Coen (Jnr)</v>
      </c>
      <c r="AQ10" s="280" t="str">
        <f>IF(AP10="","",IF(Choice!$AC$22=1,"",IF(Choice!AD18="","",Choice!AD18)))</f>
        <v/>
      </c>
      <c r="AR10" s="280" t="str">
        <f>IF(AP10="","",IF(Choice!$AC$22=1,"",IF(Choice!AE18="","",Choice!AE18)))</f>
        <v/>
      </c>
      <c r="AS10" s="280">
        <v>5</v>
      </c>
      <c r="AT10" s="257" t="str">
        <f>IFERROR(VLOOKUP(SMALL($AO$6:$AO$11,5),$AO$6:$AP$11,2,FALSE),"")</f>
        <v>Vermaak Coen (Jnr)</v>
      </c>
      <c r="AU10" s="257" t="str">
        <f t="shared" si="3"/>
        <v/>
      </c>
      <c r="AV10" s="257" t="str">
        <f t="shared" si="4"/>
        <v/>
      </c>
      <c r="AW10" s="257">
        <f t="shared" si="9"/>
        <v>4</v>
      </c>
      <c r="AX10" s="257" t="str">
        <f t="shared" si="0"/>
        <v>Vermaak Coen (Jnr)</v>
      </c>
      <c r="AY10" s="257" t="str">
        <f t="shared" si="5"/>
        <v/>
      </c>
      <c r="AZ10" s="257" t="str">
        <f t="shared" si="6"/>
        <v/>
      </c>
      <c r="BA10" s="257">
        <f t="shared" si="10"/>
        <v>4</v>
      </c>
      <c r="BB10" s="257" t="str">
        <f t="shared" si="1"/>
        <v>Vermaak Coen (Jnr)</v>
      </c>
      <c r="BC10" s="257" t="str">
        <f t="shared" si="7"/>
        <v/>
      </c>
      <c r="BD10" s="257" t="str">
        <f t="shared" si="8"/>
        <v/>
      </c>
      <c r="BE10" s="257"/>
      <c r="BF10" s="126"/>
    </row>
    <row r="11" spans="1:58" ht="34.5" customHeight="1" thickBot="1" x14ac:dyDescent="0.35">
      <c r="A11" s="289">
        <v>6</v>
      </c>
      <c r="B11" s="290" t="str">
        <f>IF(OR($C11="",$Y$3=""),"",IFERROR(VLOOKUP($Y$3&amp;$A11,Choice!$A$17:$K$217,11,FALSE),""))</f>
        <v/>
      </c>
      <c r="C11" s="291" t="str">
        <f t="shared" si="2"/>
        <v/>
      </c>
      <c r="D11" s="292" t="str">
        <f>IF(OR($C11="",$Y$3=""),"",IFERROR(VLOOKUP($Y$3&amp;$A11,Choice!$A$17:$K$217,6,FALSE),""))</f>
        <v/>
      </c>
      <c r="E11" s="293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  <c r="AD11" s="296"/>
      <c r="AE11" s="392"/>
      <c r="AF11" s="256"/>
      <c r="AG11" s="256"/>
      <c r="AH11" s="256"/>
      <c r="AI11" s="256"/>
      <c r="AJ11" s="256"/>
      <c r="AK11" s="256"/>
      <c r="AL11" s="256"/>
      <c r="AM11" s="256"/>
      <c r="AN11" s="257">
        <v>6</v>
      </c>
      <c r="AO11" s="257" t="str">
        <f>IF(AP11="","",6)</f>
        <v/>
      </c>
      <c r="AP11" s="280" t="str">
        <f>IF($Y$3="","",IFERROR(VLOOKUP($Y$3&amp;AN11,Choice!$A$17:$K$217,5,FALSE),""))</f>
        <v/>
      </c>
      <c r="AQ11" s="280" t="str">
        <f>IF(AP11="","",IF(Choice!$AC$22=1,"",IF(Choice!AD19="","",Choice!AD19)))</f>
        <v/>
      </c>
      <c r="AR11" s="280" t="str">
        <f>IF(AP11="","",IF(Choice!$AC$22=1,"",IF(Choice!AE19="","",Choice!AE19)))</f>
        <v/>
      </c>
      <c r="AS11" s="257">
        <v>6</v>
      </c>
      <c r="AT11" s="257" t="str">
        <f>IFERROR(VLOOKUP(SMALL($AO$6:$AO$11,6),$AO$6:$AP$11,2,FALSE),"")</f>
        <v/>
      </c>
      <c r="AU11" s="257" t="str">
        <f t="shared" si="3"/>
        <v/>
      </c>
      <c r="AV11" s="257" t="str">
        <f t="shared" si="4"/>
        <v/>
      </c>
      <c r="AW11" s="257" t="str">
        <f t="shared" si="9"/>
        <v/>
      </c>
      <c r="AX11" s="257" t="str">
        <f t="shared" si="0"/>
        <v/>
      </c>
      <c r="AY11" s="257" t="str">
        <f t="shared" si="5"/>
        <v/>
      </c>
      <c r="AZ11" s="257" t="str">
        <f t="shared" si="6"/>
        <v/>
      </c>
      <c r="BA11" s="257" t="str">
        <f t="shared" si="10"/>
        <v/>
      </c>
      <c r="BB11" s="257" t="str">
        <f t="shared" si="1"/>
        <v/>
      </c>
      <c r="BC11" s="257" t="str">
        <f t="shared" si="7"/>
        <v/>
      </c>
      <c r="BD11" s="257" t="str">
        <f t="shared" si="8"/>
        <v/>
      </c>
      <c r="BE11" s="257"/>
      <c r="BF11" s="126"/>
    </row>
    <row r="12" spans="1:58" ht="24" customHeight="1" thickBot="1" x14ac:dyDescent="0.3">
      <c r="A12" s="258"/>
      <c r="B12" s="258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65" t="s">
        <v>5</v>
      </c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7"/>
      <c r="AO12" s="257"/>
      <c r="AP12" s="257" t="s">
        <v>45</v>
      </c>
      <c r="AQ12" s="217" t="s">
        <v>38</v>
      </c>
      <c r="AR12" s="217" t="s">
        <v>37</v>
      </c>
      <c r="AS12" s="257"/>
      <c r="AT12" s="257" t="s">
        <v>46</v>
      </c>
      <c r="AU12" s="217" t="s">
        <v>38</v>
      </c>
      <c r="AV12" s="217" t="s">
        <v>37</v>
      </c>
      <c r="AW12" s="257"/>
      <c r="AX12" s="257" t="s">
        <v>47</v>
      </c>
      <c r="AY12" s="217" t="s">
        <v>38</v>
      </c>
      <c r="AZ12" s="217" t="s">
        <v>37</v>
      </c>
      <c r="BA12" s="257"/>
      <c r="BB12" s="257" t="s">
        <v>48</v>
      </c>
      <c r="BC12" s="217" t="s">
        <v>38</v>
      </c>
      <c r="BD12" s="217" t="s">
        <v>37</v>
      </c>
      <c r="BE12" s="257"/>
      <c r="BF12" s="126"/>
    </row>
    <row r="13" spans="1:58" ht="21" thickBot="1" x14ac:dyDescent="0.35">
      <c r="A13" s="258"/>
      <c r="B13" s="258"/>
      <c r="C13" s="259" t="s">
        <v>6</v>
      </c>
      <c r="D13" s="297"/>
      <c r="E13" s="298"/>
      <c r="F13" s="298"/>
      <c r="G13" s="298"/>
      <c r="H13" s="298"/>
      <c r="I13" s="298"/>
      <c r="J13" s="298"/>
      <c r="K13" s="298"/>
      <c r="L13" s="256"/>
      <c r="M13" s="256"/>
      <c r="N13" s="299" t="s">
        <v>7</v>
      </c>
      <c r="O13" s="300"/>
      <c r="P13" s="256"/>
      <c r="Q13" s="256"/>
      <c r="R13" s="299" t="s">
        <v>8</v>
      </c>
      <c r="S13" s="300"/>
      <c r="T13" s="299"/>
      <c r="U13" s="299"/>
      <c r="V13" s="299"/>
      <c r="W13" s="299"/>
      <c r="X13" s="256"/>
      <c r="Y13" s="256"/>
      <c r="Z13" s="259" t="s">
        <v>9</v>
      </c>
      <c r="AA13" s="298"/>
      <c r="AB13" s="298"/>
      <c r="AC13" s="298"/>
      <c r="AD13" s="298"/>
      <c r="AE13" s="298"/>
      <c r="AF13" s="118"/>
      <c r="AG13" s="118"/>
      <c r="AH13" s="118"/>
      <c r="AI13" s="118"/>
      <c r="AJ13" s="118"/>
      <c r="AK13" s="118"/>
      <c r="AL13" s="256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126"/>
    </row>
    <row r="14" spans="1:58" x14ac:dyDescent="0.25">
      <c r="A14" s="256"/>
      <c r="B14" s="256"/>
      <c r="C14" s="256"/>
      <c r="D14" s="256"/>
      <c r="E14" s="265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126"/>
    </row>
    <row r="15" spans="1:58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126"/>
    </row>
    <row r="16" spans="1:58" x14ac:dyDescent="0.25">
      <c r="A16" s="256"/>
      <c r="B16" s="256"/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2"/>
      <c r="BB16" s="252"/>
      <c r="BC16" s="252"/>
      <c r="BD16" s="252"/>
      <c r="BE16" s="252"/>
      <c r="BF16" s="126"/>
    </row>
    <row r="17" spans="1:58" ht="39.950000000000003" customHeight="1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256"/>
      <c r="AG17" s="256"/>
      <c r="AH17" s="256"/>
      <c r="AI17" s="256"/>
      <c r="AJ17" s="256"/>
      <c r="AK17" s="256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2"/>
      <c r="BB17" s="252"/>
      <c r="BC17" s="252"/>
      <c r="BD17" s="252"/>
      <c r="BE17" s="252"/>
      <c r="BF17" s="126"/>
    </row>
    <row r="18" spans="1:58" ht="39.950000000000003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 s="20"/>
      <c r="AG18" s="20"/>
      <c r="AH18" s="20"/>
      <c r="AI18" s="20"/>
      <c r="AJ18" s="20"/>
      <c r="AK18" s="20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/>
      <c r="BB18"/>
      <c r="BC18"/>
      <c r="BD18"/>
      <c r="BE18"/>
    </row>
    <row r="19" spans="1:58" ht="39.950000000000003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20"/>
      <c r="AG19" s="20"/>
      <c r="AH19" s="20"/>
      <c r="AI19" s="20"/>
      <c r="AJ19" s="20"/>
      <c r="AK19" s="20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/>
      <c r="BB19"/>
      <c r="BC19"/>
      <c r="BD19"/>
      <c r="BE19"/>
    </row>
    <row r="20" spans="1:58" ht="39.950000000000003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20"/>
      <c r="AG20" s="20"/>
      <c r="AH20" s="20"/>
      <c r="AI20" s="20"/>
      <c r="AJ20" s="20"/>
      <c r="AK20" s="20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/>
      <c r="BB20"/>
      <c r="BC20"/>
      <c r="BD20"/>
      <c r="BE20"/>
    </row>
    <row r="21" spans="1:58" ht="39.950000000000003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20"/>
      <c r="AG21" s="20"/>
      <c r="AH21" s="20"/>
      <c r="AI21" s="20"/>
      <c r="AJ21" s="20"/>
      <c r="AK21" s="20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/>
      <c r="BB21"/>
      <c r="BC21"/>
      <c r="BD21"/>
      <c r="BE21"/>
    </row>
    <row r="22" spans="1:58" ht="16.149999999999999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58" ht="24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58" ht="24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58" ht="24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>
        <v>1</v>
      </c>
      <c r="AB25"/>
      <c r="AC25"/>
      <c r="AD25"/>
      <c r="AE25"/>
      <c r="AF25"/>
      <c r="AG25"/>
      <c r="AH25"/>
      <c r="AI25"/>
      <c r="AJ25"/>
    </row>
    <row r="26" spans="1:58" ht="24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58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</sheetData>
  <sheetProtection algorithmName="SHA-512" hashValue="+NyWQ6AtCGIazJ/UVVInYYlimNY2allpCsvHVh6a8m3zuDHc4j4/deptKyjSBb39PrKDoqEJ+w6vPTKolYVUHw==" saltValue="Z66fkHcVnXQEcIWWU/03nw==" spinCount="100000" sheet="1" objects="1" scenarios="1" selectLockedCells="1"/>
  <mergeCells count="1">
    <mergeCell ref="E3:G3"/>
  </mergeCells>
  <conditionalFormatting sqref="Z4">
    <cfRule type="cellIs" dxfId="2" priority="1" stopIfTrue="1" operator="equal">
      <formula>0</formula>
    </cfRule>
  </conditionalFormatting>
  <printOptions horizontalCentered="1" verticalCentered="1"/>
  <pageMargins left="0.37" right="0.69" top="0.6" bottom="0.69" header="0.51181102362204722" footer="0.51181102362204722"/>
  <pageSetup paperSize="9" scale="66" orientation="landscape" horizontalDpi="300" verticalDpi="300" r:id="rId1"/>
  <headerFooter alignWithMargins="0">
    <oddHeader>&amp;C&amp;"Arial,Bold"&amp;24Trap 1</oddHeader>
    <oddFooter>&amp;LCopyright: All rights reserved&amp;CB F Black (082 517 5710)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Drop Down 1">
              <controlPr defaultSize="0" print="0" autoLine="0" autoPict="0">
                <anchor moveWithCells="1">
                  <from>
                    <xdr:col>14</xdr:col>
                    <xdr:colOff>9525</xdr:colOff>
                    <xdr:row>0</xdr:row>
                    <xdr:rowOff>57150</xdr:rowOff>
                  </from>
                  <to>
                    <xdr:col>18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Choice</vt:lpstr>
      <vt:lpstr>Instructions</vt:lpstr>
      <vt:lpstr>ATA Trap</vt:lpstr>
      <vt:lpstr>DTL</vt:lpstr>
      <vt:lpstr>NSSA Skeet</vt:lpstr>
      <vt:lpstr>Skeet Doubles</vt:lpstr>
      <vt:lpstr>Trench</vt:lpstr>
      <vt:lpstr>FITASC Sporting</vt:lpstr>
      <vt:lpstr>Trap 1</vt:lpstr>
      <vt:lpstr>English Sporting</vt:lpstr>
      <vt:lpstr>Olympic Trap</vt:lpstr>
      <vt:lpstr>OlympicDoubles</vt:lpstr>
      <vt:lpstr>Olympic Skeet</vt:lpstr>
      <vt:lpstr>English Skeet</vt:lpstr>
      <vt:lpstr>Compak</vt:lpstr>
      <vt:lpstr>ClubName</vt:lpstr>
      <vt:lpstr>CompDate</vt:lpstr>
      <vt:lpstr>'ATA Trap'!Print_Area</vt:lpstr>
      <vt:lpstr>Compak!Print_Area</vt:lpstr>
      <vt:lpstr>DTL!Print_Area</vt:lpstr>
      <vt:lpstr>'English Skeet'!Print_Area</vt:lpstr>
      <vt:lpstr>'English Sporting'!Print_Area</vt:lpstr>
      <vt:lpstr>'FITASC Sporting'!Print_Area</vt:lpstr>
      <vt:lpstr>'NSSA Skeet'!Print_Area</vt:lpstr>
      <vt:lpstr>'Olympic Skeet'!Print_Area</vt:lpstr>
      <vt:lpstr>'Olympic Trap'!Print_Area</vt:lpstr>
      <vt:lpstr>OlympicDoubles!Print_Area</vt:lpstr>
      <vt:lpstr>'Skeet Doubles'!Print_Area</vt:lpstr>
      <vt:lpstr>'Trap 1'!Print_Area</vt:lpstr>
      <vt:lpstr>Trench!Print_Area</vt:lpstr>
      <vt:lpstr>Squads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 Blank Scoresheets for the Club</dc:title>
  <dc:subject>Clay Workbook</dc:subject>
  <dc:creator>Brian Black</dc:creator>
  <cp:keywords>Scoresheets</cp:keywords>
  <dc:description>Last updated 25/7/06</dc:description>
  <cp:lastModifiedBy>User</cp:lastModifiedBy>
  <cp:revision>1</cp:revision>
  <cp:lastPrinted>2019-11-02T19:12:18Z</cp:lastPrinted>
  <dcterms:created xsi:type="dcterms:W3CDTF">2004-04-24T17:09:51Z</dcterms:created>
  <dcterms:modified xsi:type="dcterms:W3CDTF">2019-11-06T11:54:37Z</dcterms:modified>
  <cp:category>General Use</cp:category>
</cp:coreProperties>
</file>